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20" yWindow="-15" windowWidth="28680" windowHeight="14130" activeTab="4"/>
  </bookViews>
  <sheets>
    <sheet name="Incinérables" sheetId="1" r:id="rId1"/>
    <sheet name="Valorisables + spéciaux" sheetId="2" r:id="rId2"/>
    <sheet name="Budget - base" sheetId="3" r:id="rId3"/>
    <sheet name="Calcul de la taxe" sheetId="4" r:id="rId4"/>
    <sheet name="Marche à suivre" sheetId="5" r:id="rId5"/>
  </sheets>
  <definedNames>
    <definedName name="_xlnm.Print_Area" localSheetId="2">'Budget - base'!$A$1:$F$76</definedName>
    <definedName name="_xlnm.Print_Area" localSheetId="3">'Calcul de la taxe'!$A$1:$G$47</definedName>
    <definedName name="_xlnm.Print_Area" localSheetId="0">Incinérables!$A$1:$K$25</definedName>
    <definedName name="_xlnm.Print_Area" localSheetId="4">'Marche à suivre'!$A$1:$C$43</definedName>
    <definedName name="_xlnm.Print_Area" localSheetId="1">'Valorisables + spéciaux'!$A$1:$L$43</definedName>
  </definedNames>
  <calcPr calcId="145621"/>
</workbook>
</file>

<file path=xl/calcChain.xml><?xml version="1.0" encoding="utf-8"?>
<calcChain xmlns="http://schemas.openxmlformats.org/spreadsheetml/2006/main">
  <c r="D65" i="3" l="1"/>
  <c r="D24" i="4"/>
  <c r="D24" i="3"/>
  <c r="I16" i="3"/>
  <c r="D23" i="4" s="1"/>
  <c r="E27" i="4"/>
  <c r="E18" i="4"/>
  <c r="E17" i="4"/>
  <c r="E16" i="4"/>
  <c r="E15" i="4"/>
  <c r="B6" i="4"/>
  <c r="B7" i="4" s="1"/>
  <c r="E13" i="4"/>
  <c r="D63" i="3" s="1"/>
  <c r="B10" i="4"/>
  <c r="I18" i="3"/>
  <c r="J18" i="3" s="1"/>
  <c r="I17" i="3"/>
  <c r="J17" i="3" s="1"/>
  <c r="D71" i="3"/>
  <c r="D64" i="3" l="1"/>
  <c r="D25" i="4"/>
  <c r="J16" i="3"/>
  <c r="I28" i="2" l="1"/>
  <c r="I29" i="2"/>
  <c r="I30" i="2"/>
  <c r="I31" i="2"/>
  <c r="I32" i="2"/>
  <c r="I33" i="2"/>
  <c r="I34" i="2"/>
  <c r="I35" i="2"/>
  <c r="I36" i="2"/>
  <c r="E20" i="1"/>
  <c r="C20" i="3"/>
  <c r="I14" i="3" s="1"/>
  <c r="J14" i="3" s="1"/>
  <c r="C19" i="3"/>
  <c r="I13" i="3" s="1"/>
  <c r="D9" i="3"/>
  <c r="I38" i="2"/>
  <c r="I39" i="2"/>
  <c r="I40" i="2"/>
  <c r="I41" i="2"/>
  <c r="I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27" i="2"/>
  <c r="J13" i="3" l="1"/>
  <c r="D21" i="4"/>
  <c r="C9" i="3"/>
  <c r="L24" i="2"/>
  <c r="J18" i="2"/>
  <c r="K18" i="2" s="1"/>
  <c r="J19" i="2"/>
  <c r="K19" i="2" s="1"/>
  <c r="J20" i="2"/>
  <c r="K20" i="2" s="1"/>
  <c r="J21" i="2"/>
  <c r="K21" i="2" s="1"/>
  <c r="F18" i="2"/>
  <c r="G18" i="2" s="1"/>
  <c r="F19" i="2"/>
  <c r="G19" i="2" s="1"/>
  <c r="F20" i="2"/>
  <c r="G20" i="2" s="1"/>
  <c r="F21" i="2"/>
  <c r="G21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7" i="2"/>
  <c r="K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7" i="2"/>
  <c r="G7" i="2" s="1"/>
  <c r="L4" i="2"/>
  <c r="D11" i="1"/>
  <c r="D20" i="1" s="1"/>
  <c r="D9" i="1"/>
  <c r="I18" i="1" s="1"/>
  <c r="D12" i="1"/>
  <c r="D22" i="1" s="1"/>
  <c r="E9" i="3" l="1"/>
  <c r="H39" i="2"/>
  <c r="J39" i="2" s="1"/>
  <c r="K39" i="2" s="1"/>
  <c r="C29" i="2"/>
  <c r="C33" i="2"/>
  <c r="C38" i="2"/>
  <c r="C27" i="2"/>
  <c r="C30" i="2"/>
  <c r="C34" i="2"/>
  <c r="C39" i="2"/>
  <c r="C31" i="2"/>
  <c r="C35" i="2"/>
  <c r="C40" i="2"/>
  <c r="C28" i="2"/>
  <c r="C32" i="2"/>
  <c r="C36" i="2"/>
  <c r="C41" i="2"/>
  <c r="H27" i="2"/>
  <c r="J27" i="2" s="1"/>
  <c r="H30" i="2"/>
  <c r="J30" i="2" s="1"/>
  <c r="H40" i="2"/>
  <c r="J40" i="2" s="1"/>
  <c r="K40" i="2" s="1"/>
  <c r="H33" i="2"/>
  <c r="J33" i="2" s="1"/>
  <c r="H34" i="2"/>
  <c r="J34" i="2" s="1"/>
  <c r="D28" i="2"/>
  <c r="D32" i="2"/>
  <c r="F32" i="2" s="1"/>
  <c r="D36" i="2"/>
  <c r="F36" i="2" s="1"/>
  <c r="D41" i="2"/>
  <c r="D29" i="2"/>
  <c r="D38" i="2"/>
  <c r="D30" i="2"/>
  <c r="F30" i="2" s="1"/>
  <c r="D39" i="2"/>
  <c r="F39" i="2" s="1"/>
  <c r="D31" i="2"/>
  <c r="F31" i="2" s="1"/>
  <c r="D35" i="2"/>
  <c r="F35" i="2" s="1"/>
  <c r="D40" i="2"/>
  <c r="F40" i="2" s="1"/>
  <c r="D33" i="2"/>
  <c r="D27" i="2"/>
  <c r="F27" i="2" s="1"/>
  <c r="D34" i="2"/>
  <c r="H35" i="2"/>
  <c r="J35" i="2" s="1"/>
  <c r="H31" i="2"/>
  <c r="J31" i="2" s="1"/>
  <c r="H41" i="2"/>
  <c r="J41" i="2" s="1"/>
  <c r="K41" i="2" s="1"/>
  <c r="H29" i="2"/>
  <c r="J29" i="2" s="1"/>
  <c r="H36" i="2"/>
  <c r="J36" i="2" s="1"/>
  <c r="H32" i="2"/>
  <c r="J32" i="2" s="1"/>
  <c r="H28" i="2"/>
  <c r="J28" i="2" s="1"/>
  <c r="H38" i="2"/>
  <c r="J38" i="2" s="1"/>
  <c r="K38" i="2" s="1"/>
  <c r="D10" i="1"/>
  <c r="H18" i="1" s="1"/>
  <c r="J18" i="1" s="1"/>
  <c r="K18" i="1" s="1"/>
  <c r="D8" i="1"/>
  <c r="D7" i="1"/>
  <c r="K35" i="2" l="1"/>
  <c r="C56" i="3"/>
  <c r="G36" i="2"/>
  <c r="C47" i="3"/>
  <c r="K31" i="2"/>
  <c r="C52" i="3"/>
  <c r="K34" i="2"/>
  <c r="C55" i="3"/>
  <c r="K36" i="2"/>
  <c r="C57" i="3"/>
  <c r="J43" i="2"/>
  <c r="G40" i="2"/>
  <c r="C74" i="3"/>
  <c r="G30" i="2"/>
  <c r="C41" i="3"/>
  <c r="K33" i="2"/>
  <c r="C54" i="3"/>
  <c r="K29" i="2"/>
  <c r="C50" i="3"/>
  <c r="G35" i="2"/>
  <c r="C46" i="3"/>
  <c r="F38" i="2"/>
  <c r="G32" i="2"/>
  <c r="C43" i="3"/>
  <c r="K28" i="2"/>
  <c r="C49" i="3"/>
  <c r="G27" i="2"/>
  <c r="C38" i="3"/>
  <c r="G31" i="2"/>
  <c r="C42" i="3"/>
  <c r="F28" i="2"/>
  <c r="K30" i="2"/>
  <c r="D66" i="3"/>
  <c r="I20" i="3" s="1"/>
  <c r="C51" i="3"/>
  <c r="K32" i="2"/>
  <c r="C53" i="3"/>
  <c r="K27" i="2"/>
  <c r="C48" i="3"/>
  <c r="G39" i="2"/>
  <c r="C73" i="3"/>
  <c r="F34" i="2"/>
  <c r="F29" i="2"/>
  <c r="F33" i="2"/>
  <c r="F41" i="2"/>
  <c r="B18" i="1"/>
  <c r="B20" i="1"/>
  <c r="B22" i="1"/>
  <c r="C22" i="1" s="1"/>
  <c r="E22" i="1" s="1"/>
  <c r="F22" i="1" s="1"/>
  <c r="D18" i="1"/>
  <c r="E26" i="4" l="1"/>
  <c r="E30" i="4" s="1"/>
  <c r="J20" i="3"/>
  <c r="G34" i="2"/>
  <c r="C45" i="3"/>
  <c r="G41" i="2"/>
  <c r="C75" i="3"/>
  <c r="G28" i="2"/>
  <c r="C39" i="3"/>
  <c r="G38" i="2"/>
  <c r="C72" i="3"/>
  <c r="C71" i="3" s="1"/>
  <c r="E71" i="3" s="1"/>
  <c r="G33" i="2"/>
  <c r="C44" i="3"/>
  <c r="G29" i="2"/>
  <c r="C40" i="3"/>
  <c r="I19" i="3"/>
  <c r="D37" i="4" s="1"/>
  <c r="J22" i="1"/>
  <c r="K22" i="1" s="1"/>
  <c r="J20" i="1"/>
  <c r="K20" i="1" s="1"/>
  <c r="F20" i="1"/>
  <c r="E18" i="1"/>
  <c r="I15" i="3" l="1"/>
  <c r="J15" i="3" s="1"/>
  <c r="D22" i="4"/>
  <c r="D30" i="4" s="1"/>
  <c r="C26" i="3"/>
  <c r="J19" i="3"/>
  <c r="I22" i="3"/>
  <c r="K24" i="1"/>
  <c r="J24" i="1"/>
  <c r="E24" i="1"/>
  <c r="F18" i="1"/>
  <c r="F24" i="1" s="1"/>
  <c r="J22" i="3" l="1"/>
  <c r="E32" i="4"/>
  <c r="D35" i="4"/>
  <c r="D40" i="4" s="1"/>
  <c r="F37" i="4" s="1"/>
  <c r="F28" i="4"/>
  <c r="C8" i="3"/>
  <c r="C6" i="3"/>
  <c r="D62" i="3" l="1"/>
  <c r="D26" i="3" s="1"/>
  <c r="E35" i="4"/>
  <c r="E40" i="4" s="1"/>
  <c r="F40" i="4" s="1"/>
  <c r="F41" i="4" s="1"/>
  <c r="F33" i="4"/>
  <c r="E44" i="4" s="1"/>
  <c r="E45" i="4" s="1"/>
  <c r="E46" i="4" s="1"/>
  <c r="D8" i="3" l="1"/>
  <c r="D6" i="3"/>
  <c r="E6" i="3" s="1"/>
  <c r="E26" i="3"/>
  <c r="E8" i="3" s="1"/>
</calcChain>
</file>

<file path=xl/sharedStrings.xml><?xml version="1.0" encoding="utf-8"?>
<sst xmlns="http://schemas.openxmlformats.org/spreadsheetml/2006/main" count="428" uniqueCount="286">
  <si>
    <t>Estimation des tonnages et des coûts des déchets incinérables urbains</t>
  </si>
  <si>
    <t xml:space="preserve">Population </t>
  </si>
  <si>
    <t>Données de base</t>
  </si>
  <si>
    <t>Indexation</t>
  </si>
  <si>
    <t>Libellé</t>
  </si>
  <si>
    <t xml:space="preserve"> -</t>
  </si>
  <si>
    <t>Prix transport/tonne HT</t>
  </si>
  <si>
    <t>Prix transport/tournée HT</t>
  </si>
  <si>
    <t>Prix traitement/tonne HT</t>
  </si>
  <si>
    <t>Transports</t>
  </si>
  <si>
    <t>Tonnage</t>
  </si>
  <si>
    <t>Total HT</t>
  </si>
  <si>
    <t>Coûts / tonne</t>
  </si>
  <si>
    <t>Traitement</t>
  </si>
  <si>
    <t>Coût / tournée</t>
  </si>
  <si>
    <t>Nbre tournée</t>
  </si>
  <si>
    <t>Rétrocession taxe au sacs</t>
  </si>
  <si>
    <t>Tonnages collectés</t>
  </si>
  <si>
    <t>Nombre de tournées</t>
  </si>
  <si>
    <t>Rétrocession taxe au sacs/tonne HT</t>
  </si>
  <si>
    <t>Total TTC</t>
  </si>
  <si>
    <t>Si prix collecte à la tonne</t>
  </si>
  <si>
    <t>Si prix collecte par tournée</t>
  </si>
  <si>
    <t>Prestations</t>
  </si>
  <si>
    <r>
      <t>Solde</t>
    </r>
    <r>
      <rPr>
        <b/>
        <i/>
        <sz val="10"/>
        <color rgb="FFFF0000"/>
        <rFont val="Eras Light ITC"/>
        <family val="2"/>
      </rPr>
      <t xml:space="preserve"> (si positif, ne couvre pas)</t>
    </r>
  </si>
  <si>
    <t>Part sacs noirs</t>
  </si>
  <si>
    <t>Population</t>
  </si>
  <si>
    <t>Compte</t>
  </si>
  <si>
    <t>Coûts transport</t>
  </si>
  <si>
    <t>Coûts traitement</t>
  </si>
  <si>
    <t>Tonnes</t>
  </si>
  <si>
    <t xml:space="preserve">Prix </t>
  </si>
  <si>
    <t>451.3188.02</t>
  </si>
  <si>
    <t>Encombrants</t>
  </si>
  <si>
    <t>451.3188.03</t>
  </si>
  <si>
    <t>Bois</t>
  </si>
  <si>
    <t>451.3188.04</t>
  </si>
  <si>
    <t>Compost</t>
  </si>
  <si>
    <t>451.3188.06</t>
  </si>
  <si>
    <t>Ferraille</t>
  </si>
  <si>
    <t>451.3188.07</t>
  </si>
  <si>
    <t>Papier - carton</t>
  </si>
  <si>
    <t>451.3188.08</t>
  </si>
  <si>
    <t>Verre</t>
  </si>
  <si>
    <t>451.3188.09</t>
  </si>
  <si>
    <t>Déchets de cuisine</t>
  </si>
  <si>
    <t>Plastique</t>
  </si>
  <si>
    <t>Pet</t>
  </si>
  <si>
    <t>Swico</t>
  </si>
  <si>
    <t>452.3188.00</t>
  </si>
  <si>
    <t>DSM</t>
  </si>
  <si>
    <t>452.3188.01</t>
  </si>
  <si>
    <t>452.3188.02</t>
  </si>
  <si>
    <t>Déchets carnés</t>
  </si>
  <si>
    <t>452.3188.03</t>
  </si>
  <si>
    <t>Inertes</t>
  </si>
  <si>
    <t>451.3188.01</t>
  </si>
  <si>
    <t>451.3188.05</t>
  </si>
  <si>
    <t>451.3188.10</t>
  </si>
  <si>
    <t>Collecte et traitement 2016</t>
  </si>
  <si>
    <t>Estimation des coûts pour les déchets valorisables et spéciaux</t>
  </si>
  <si>
    <t>Prix par voyage ou par tonne</t>
  </si>
  <si>
    <t>Total tonnes</t>
  </si>
  <si>
    <t>Total vidanges</t>
  </si>
  <si>
    <t>Collecte et traitement 2018</t>
  </si>
  <si>
    <t>Base du budget 2018</t>
  </si>
  <si>
    <t>Données à compléter</t>
  </si>
  <si>
    <t>Comptes</t>
  </si>
  <si>
    <t>Libellés</t>
  </si>
  <si>
    <t>Charges</t>
  </si>
  <si>
    <t>Revenus</t>
  </si>
  <si>
    <t>Résultat</t>
  </si>
  <si>
    <t>TOTAL DECHETS 450 - 451 - 452</t>
  </si>
  <si>
    <t>Total 450 (incinérables)</t>
  </si>
  <si>
    <t>450.3010.00</t>
  </si>
  <si>
    <t>450.3030.00</t>
  </si>
  <si>
    <t>450.3040.00</t>
  </si>
  <si>
    <t>450.3050.00</t>
  </si>
  <si>
    <t>450.3060.00</t>
  </si>
  <si>
    <t>450.3114.00</t>
  </si>
  <si>
    <t>450.3141.00</t>
  </si>
  <si>
    <t>450.3161.00</t>
  </si>
  <si>
    <t>450.3188.00</t>
  </si>
  <si>
    <t>450.4359.00</t>
  </si>
  <si>
    <t>450.4360.00</t>
  </si>
  <si>
    <t xml:space="preserve">Traitements </t>
  </si>
  <si>
    <t>Charges sociales</t>
  </si>
  <si>
    <t>Caisse de pension</t>
  </si>
  <si>
    <t>Assurances maladie / accident</t>
  </si>
  <si>
    <t>Indemnisation, remboursement de frais</t>
  </si>
  <si>
    <t>Achat de matériel</t>
  </si>
  <si>
    <t>Achat de sacs taxés</t>
  </si>
  <si>
    <t>Entretien des postes de collecte</t>
  </si>
  <si>
    <t>Loyers</t>
  </si>
  <si>
    <t>Collecte des incinérables</t>
  </si>
  <si>
    <t>450.3137.00</t>
  </si>
  <si>
    <t>450.3188.10</t>
  </si>
  <si>
    <t>Traitement des incinérables</t>
  </si>
  <si>
    <t>450.4526.00</t>
  </si>
  <si>
    <t>Ventes de sacs taxés</t>
  </si>
  <si>
    <t>Remboursement de tiers</t>
  </si>
  <si>
    <t>Observations</t>
  </si>
  <si>
    <t>A compléter</t>
  </si>
  <si>
    <t>Automatique</t>
  </si>
  <si>
    <t>A compléter, selon répartition salaires</t>
  </si>
  <si>
    <t>Coûts transport par vidange ou par tonne</t>
  </si>
  <si>
    <t>Cendres, balayures</t>
  </si>
  <si>
    <t>Valorisation</t>
  </si>
  <si>
    <t>Total 451 (valorisables)</t>
  </si>
  <si>
    <t>451.3010.00</t>
  </si>
  <si>
    <t>451.3030.00</t>
  </si>
  <si>
    <t>451.3040.00</t>
  </si>
  <si>
    <t>451.3050.00</t>
  </si>
  <si>
    <t>451.3060.00</t>
  </si>
  <si>
    <t>451.3114.00</t>
  </si>
  <si>
    <t>451.3120.00</t>
  </si>
  <si>
    <t>451.3130.00</t>
  </si>
  <si>
    <t>451.3141.00</t>
  </si>
  <si>
    <t>451.3154.00</t>
  </si>
  <si>
    <t>451.3186.00</t>
  </si>
  <si>
    <t>451.3312.00</t>
  </si>
  <si>
    <t>451.3909.20</t>
  </si>
  <si>
    <t>451.4342.20</t>
  </si>
  <si>
    <t>451.4342.21</t>
  </si>
  <si>
    <t>151.4342.22</t>
  </si>
  <si>
    <t>451.4342.30</t>
  </si>
  <si>
    <t>451.4354.00</t>
  </si>
  <si>
    <t>451.4360.00</t>
  </si>
  <si>
    <t>451.4370.00</t>
  </si>
  <si>
    <t>451.4909.00</t>
  </si>
  <si>
    <t>Traitements</t>
  </si>
  <si>
    <t>Assurances sociales</t>
  </si>
  <si>
    <t>Assurances accidents</t>
  </si>
  <si>
    <t>Indemnisation et remboursement de frais</t>
  </si>
  <si>
    <t>Achat d'eau, d'energie</t>
  </si>
  <si>
    <t>Fournitures &amp; marchandises</t>
  </si>
  <si>
    <t>Entretien du bâtiment</t>
  </si>
  <si>
    <t>Entretien matériel de collecte</t>
  </si>
  <si>
    <t>Primes d'assurances</t>
  </si>
  <si>
    <t>Amortissement déchèterie</t>
  </si>
  <si>
    <t>Imputations internes d'intérêts</t>
  </si>
  <si>
    <t>Taxe forfaitaire</t>
  </si>
  <si>
    <t>Taxe forfaitaire - résidants secondaires</t>
  </si>
  <si>
    <t>Taxe forfaitaire - entreprise</t>
  </si>
  <si>
    <t>Taxe de déchèterie ponctuelle</t>
  </si>
  <si>
    <t>Valorisation des déchets</t>
  </si>
  <si>
    <t>Contraventions</t>
  </si>
  <si>
    <t>Imputations internes</t>
  </si>
  <si>
    <t>Collecte encombrants</t>
  </si>
  <si>
    <t>Collecte bois</t>
  </si>
  <si>
    <t>Collecte compost</t>
  </si>
  <si>
    <t>Collecte ferraille</t>
  </si>
  <si>
    <t>Collecte papier-carton</t>
  </si>
  <si>
    <t>Collecte verre</t>
  </si>
  <si>
    <t>Collecte déchets de cuisine</t>
  </si>
  <si>
    <t>Collecte plastique</t>
  </si>
  <si>
    <t>Collecte PET</t>
  </si>
  <si>
    <t>Collecte matériel Swico</t>
  </si>
  <si>
    <t>451.3188.51</t>
  </si>
  <si>
    <t>451.3188.52</t>
  </si>
  <si>
    <t>451.3188.53</t>
  </si>
  <si>
    <t>451.3188.54</t>
  </si>
  <si>
    <t>451.3188.55</t>
  </si>
  <si>
    <t>451.3188.56</t>
  </si>
  <si>
    <t>451.3188.57</t>
  </si>
  <si>
    <t>451.3188.58</t>
  </si>
  <si>
    <t>451.3188.59</t>
  </si>
  <si>
    <t>451.3188.60</t>
  </si>
  <si>
    <t>Traitement encombrants</t>
  </si>
  <si>
    <t>Traitement bois</t>
  </si>
  <si>
    <t>Traitement compost</t>
  </si>
  <si>
    <t>Traitement ferraille</t>
  </si>
  <si>
    <t>Traitement papier-carton</t>
  </si>
  <si>
    <t>Traitement verre</t>
  </si>
  <si>
    <t>Traitement déchets de cuisine</t>
  </si>
  <si>
    <t>Traitement plastique</t>
  </si>
  <si>
    <t>Traitement PET</t>
  </si>
  <si>
    <t>Traitement Swico</t>
  </si>
  <si>
    <t>A compléter, selon répartition intérêts dettes</t>
  </si>
  <si>
    <t>Total 452 (financé par l'impôt)</t>
  </si>
  <si>
    <t>Collecte/traitement DSM</t>
  </si>
  <si>
    <t>Collecte/traitement déchets carnés</t>
  </si>
  <si>
    <t>Collecte/traitement déchets inertes</t>
  </si>
  <si>
    <t>452.4356.00</t>
  </si>
  <si>
    <t>Refacturation à des tiers</t>
  </si>
  <si>
    <t>Collecte/traitement déchets cendres</t>
  </si>
  <si>
    <t>451.3189.00</t>
  </si>
  <si>
    <t>Travaux effectués par des tiers</t>
  </si>
  <si>
    <t>451.3191.00</t>
  </si>
  <si>
    <t>AFC - Redip TVA</t>
  </si>
  <si>
    <t>Reprise données pour taxe forfaitaire</t>
  </si>
  <si>
    <t>Coûts collecte et traitement valorisables</t>
  </si>
  <si>
    <t>Frais Sadec et postes collectes</t>
  </si>
  <si>
    <t>Frais déchèterie</t>
  </si>
  <si>
    <t>Frais de personnel + administration</t>
  </si>
  <si>
    <t>Coûts collectes et traitements spéciaux</t>
  </si>
  <si>
    <t>Recettes diverses (valorsiation, facturation, etc…)</t>
  </si>
  <si>
    <t>HT</t>
  </si>
  <si>
    <t>TTC</t>
  </si>
  <si>
    <t>Coûts collecte déchets incinérables</t>
  </si>
  <si>
    <t>Coûts traitement déchets incinérable</t>
  </si>
  <si>
    <t>Coûts nets sans taxes forfaitaire et rétrocession</t>
  </si>
  <si>
    <t>Prix unitaire</t>
  </si>
  <si>
    <t>Estimation tonnes OM</t>
  </si>
  <si>
    <t>Estimation tonnes OM tricheurs 2%</t>
  </si>
  <si>
    <t>Résidents primaires</t>
  </si>
  <si>
    <t>Résidents primaires -18 ans ou éxonérés</t>
  </si>
  <si>
    <t>Total résidents primaires</t>
  </si>
  <si>
    <t>Entreprises - 1 personne</t>
  </si>
  <si>
    <t>Entreprises - 2 à 5 personnes</t>
  </si>
  <si>
    <t>Entreprises + 5 personnes</t>
  </si>
  <si>
    <t>Ecoles, colonies, chambre d'hôtes, etc…</t>
  </si>
  <si>
    <t>Taxes entreprises selon cartes vidanges</t>
  </si>
  <si>
    <t>Coûts an collectes/traitement OM</t>
  </si>
  <si>
    <t>Coûts an collectes/traitement valorisables</t>
  </si>
  <si>
    <t>Frais écopoints</t>
  </si>
  <si>
    <t>Frais an de personnel</t>
  </si>
  <si>
    <t>Frais an exploitation déchèterie</t>
  </si>
  <si>
    <t>Valorisation des déchets, autres recettes</t>
  </si>
  <si>
    <t>Estimation rétrocession par tonne :</t>
  </si>
  <si>
    <t>Participation aux charges par l'impôt</t>
  </si>
  <si>
    <t>Solde à financer par la taxe forfaitaire</t>
  </si>
  <si>
    <t>TVA</t>
  </si>
  <si>
    <t>Calcul de la taxe forfaitaire 2018 (hors TVA)</t>
  </si>
  <si>
    <t>Résidences secondaires (par logement)</t>
  </si>
  <si>
    <t>Quantité</t>
  </si>
  <si>
    <t>Prix fixe selon règlement</t>
  </si>
  <si>
    <t>450.3526.00</t>
  </si>
  <si>
    <t>Participation centre régional</t>
  </si>
  <si>
    <t>Estimation selon vidanges</t>
  </si>
  <si>
    <t>à compléter</t>
  </si>
  <si>
    <t>Nbre</t>
  </si>
  <si>
    <t>Données de base pour calculation</t>
  </si>
  <si>
    <t>Montant de la taxe forfaitaire (HT)</t>
  </si>
  <si>
    <t>TOTAL INITIAL 450 + 451 (HT)</t>
  </si>
  <si>
    <t>TOTAL AVEC TAXE FORFAITAIRE (HT)</t>
  </si>
  <si>
    <t>par habitant</t>
  </si>
  <si>
    <t>TOTAL DECHETS 450 + 451</t>
  </si>
  <si>
    <t>Couverture à 100%</t>
  </si>
  <si>
    <t>TOTAL 452 (HT)</t>
  </si>
  <si>
    <t>TOTAL CENTRE 450 (HT)</t>
  </si>
  <si>
    <t>Spéciaux en %</t>
  </si>
  <si>
    <t>Taux de couverture %</t>
  </si>
  <si>
    <t>Taux</t>
  </si>
  <si>
    <t>Par habitant</t>
  </si>
  <si>
    <t>Normalement 0.00</t>
  </si>
  <si>
    <t>Marche à suivre pour le calcul de la taxe forfaitaire déchets</t>
  </si>
  <si>
    <t>Pos.</t>
  </si>
  <si>
    <t>Onglet</t>
  </si>
  <si>
    <t>Compléter les rubriques bleues, soit :</t>
  </si>
  <si>
    <t xml:space="preserve"> - population année précédente</t>
  </si>
  <si>
    <t xml:space="preserve"> - tonnage collecté année précédente</t>
  </si>
  <si>
    <t xml:space="preserve"> - mentionner prix facturer (par tonne ou par tournée) année précédente</t>
  </si>
  <si>
    <t xml:space="preserve"> - indiquer l'indexation prévue en %</t>
  </si>
  <si>
    <t xml:space="preserve"> - si prix par tournée, mentionner le nombre de tournées durant l'année précédente</t>
  </si>
  <si>
    <t xml:space="preserve"> - indiquer le prix de traitement par tonne de l'année précédente</t>
  </si>
  <si>
    <t xml:space="preserve"> - indiquer le montant par tonne de la rétrocession durant l'année précédente</t>
  </si>
  <si>
    <t>Dans la partie inférieure, le calcul s'effectue automatiquement, selon l'évolution de la population, l'indexation et le type de facturation</t>
  </si>
  <si>
    <t>"Incinérables"</t>
  </si>
  <si>
    <t>"Valorisables + spéciaux"</t>
  </si>
  <si>
    <t xml:space="preserve"> - total de tonnes (si prix par tonnes) de l'année précédente</t>
  </si>
  <si>
    <t xml:space="preserve"> - total des tonnes (pour le traitement) de l'année précédente</t>
  </si>
  <si>
    <t xml:space="preserve"> - prix par tonnes (pour le traitement) de l'année précédente</t>
  </si>
  <si>
    <t xml:space="preserve"> - le pourcentage d'indexation envisagé pour l'année à calculer</t>
  </si>
  <si>
    <t>(prix par tonne ou par vidange) - les montants sont automatiquement repris dans l'onglet "Budget - base)</t>
  </si>
  <si>
    <t>(prix par tonne ou par tournée) - les montants sont automatiquement repris dans l'onglet "Budget - base"</t>
  </si>
  <si>
    <t>"Budget - base"</t>
  </si>
  <si>
    <t xml:space="preserve"> - les traitements, assurances sociales, etc…</t>
  </si>
  <si>
    <t xml:space="preserve"> - les achats de matériel, l'entretien, les loyers, etc…</t>
  </si>
  <si>
    <t xml:space="preserve"> - le coût de la participation au centre régional (sadec, Valorsa, etc…)</t>
  </si>
  <si>
    <t xml:space="preserve"> - les ventes de sacs taxés et les remboursement de tiers</t>
  </si>
  <si>
    <t>Pour élaborer le budget, il faut compléter certaines rubriques de frais fixes ou variables (en bleus dans la colonne observation), soit :</t>
  </si>
  <si>
    <t xml:space="preserve"> - les travaux effectués par des tiers, les amortissements, la Redip TVA, les imputations internes</t>
  </si>
  <si>
    <t>"Calcul de la taxe"</t>
  </si>
  <si>
    <t xml:space="preserve">Dans cet onglet, il faut compléter les données du contrôle des habitants (population primaire, personnes exonérées, logements </t>
  </si>
  <si>
    <t>secondaires, nombre d'entreprises, etc…</t>
  </si>
  <si>
    <t>Ensuite, le tableau calcul automatiquement la taxe forfaitaire (dans le cas présent, pour les résidents primaires), en divisant le solde</t>
  </si>
  <si>
    <t>à couvrir pour équilibrer les comptes 450 et 451 par les résidants primaires.</t>
  </si>
  <si>
    <t>A noter que les données concernant les déchets spéciaux 452 figurent également dans le tableau, mais hors calcul, ces coûts pouvant</t>
  </si>
  <si>
    <t>être financés par l'impôts.</t>
  </si>
  <si>
    <t>Bien entendu, il faut adapter le tableau sur la base du règlement communal (taxe par habitant, par logement, etc…) et insérer alors</t>
  </si>
  <si>
    <t>les données nécessaires pour le calcul de la taxe forfaitaire (si taxe au logement, nombre de logement, etc…)</t>
  </si>
  <si>
    <t xml:space="preserve"> - estimation population année budget</t>
  </si>
  <si>
    <t xml:space="preserve"> - total des vidanges (si prix par vidanges) de l'année précédente</t>
  </si>
  <si>
    <t xml:space="preserve"> - les prix par tonnes ou par vidanges de l'année précédente</t>
  </si>
  <si>
    <t>Les données du tableau vont se consolider dans la partie de droite (non imprimée) du fichier, pour report dans l'onglet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</si>
</sst>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4" x14ac:knownFonts="1">
    <font>
      <sz val="12"/>
      <color theme="1"/>
      <name val="Franklin Gothic Book"/>
      <family val="2"/>
    </font>
    <font>
      <sz val="12"/>
      <color theme="1"/>
      <name val="Eras Light ITC"/>
      <family val="2"/>
    </font>
    <font>
      <b/>
      <sz val="16"/>
      <color theme="1"/>
      <name val="Eras Light ITC"/>
      <family val="2"/>
    </font>
    <font>
      <b/>
      <sz val="12"/>
      <color theme="1"/>
      <name val="Eras Light ITC"/>
      <family val="2"/>
    </font>
    <font>
      <i/>
      <sz val="12"/>
      <color theme="1"/>
      <name val="Eras Light ITC"/>
      <family val="2"/>
    </font>
    <font>
      <b/>
      <i/>
      <sz val="10"/>
      <color rgb="FFFF0000"/>
      <name val="Eras Light ITC"/>
      <family val="2"/>
    </font>
    <font>
      <b/>
      <sz val="16"/>
      <color theme="3" tint="-0.499984740745262"/>
      <name val="Eras Light ITC"/>
      <family val="2"/>
    </font>
    <font>
      <b/>
      <sz val="12"/>
      <color theme="3" tint="-0.499984740745262"/>
      <name val="Eras Light ITC"/>
      <family val="2"/>
    </font>
    <font>
      <sz val="12"/>
      <color theme="3" tint="-0.499984740745262"/>
      <name val="Eras Light ITC"/>
      <family val="2"/>
    </font>
    <font>
      <sz val="10"/>
      <color theme="1"/>
      <name val="Eras Light ITC"/>
      <family val="2"/>
    </font>
    <font>
      <i/>
      <sz val="12"/>
      <color rgb="FFFF0000"/>
      <name val="Eras Light ITC"/>
      <family val="2"/>
    </font>
    <font>
      <i/>
      <sz val="10"/>
      <color rgb="FFFF0000"/>
      <name val="Eras Light ITC"/>
      <family val="2"/>
    </font>
    <font>
      <b/>
      <sz val="22"/>
      <color theme="3" tint="-0.499984740745262"/>
      <name val="Eras Light ITC"/>
      <family val="2"/>
    </font>
    <font>
      <sz val="10"/>
      <color rgb="FFFF0000"/>
      <name val="Eras Light ITC"/>
      <family val="2"/>
    </font>
    <font>
      <u/>
      <sz val="16"/>
      <color theme="1"/>
      <name val="Eras Light ITC"/>
      <family val="2"/>
    </font>
    <font>
      <sz val="12"/>
      <color theme="1"/>
      <name val="Book Antiqua"/>
      <family val="1"/>
    </font>
    <font>
      <sz val="16"/>
      <color theme="1"/>
      <name val="Book Antiqua"/>
      <family val="1"/>
    </font>
    <font>
      <sz val="12"/>
      <color rgb="FFFF0000"/>
      <name val="Book Antiqua"/>
      <family val="1"/>
    </font>
    <font>
      <b/>
      <sz val="12"/>
      <color rgb="FFFF0000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sz val="10"/>
      <color rgb="FFFF0000"/>
      <name val="Book Antiqua"/>
      <family val="1"/>
    </font>
    <font>
      <i/>
      <sz val="10"/>
      <color theme="1"/>
      <name val="Book Antiqua"/>
      <family val="1"/>
    </font>
    <font>
      <b/>
      <sz val="10"/>
      <color rgb="FF3399FF"/>
      <name val="Eras Light ITC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3" fillId="2" borderId="2" xfId="0" applyFont="1" applyFill="1" applyBorder="1" applyAlignment="1">
      <alignment horizontal="center"/>
    </xf>
    <xf numFmtId="3" fontId="3" fillId="2" borderId="5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4" fontId="3" fillId="2" borderId="7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4" fontId="3" fillId="0" borderId="3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/>
    <xf numFmtId="4" fontId="4" fillId="0" borderId="3" xfId="0" applyNumberFormat="1" applyFont="1" applyBorder="1"/>
    <xf numFmtId="0" fontId="4" fillId="0" borderId="0" xfId="0" applyFont="1"/>
    <xf numFmtId="0" fontId="3" fillId="0" borderId="0" xfId="0" applyFont="1"/>
    <xf numFmtId="9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/>
    <xf numFmtId="3" fontId="8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/>
    <xf numFmtId="0" fontId="8" fillId="2" borderId="0" xfId="0" applyFont="1" applyFill="1"/>
    <xf numFmtId="9" fontId="9" fillId="2" borderId="0" xfId="0" applyNumberFormat="1" applyFont="1" applyFill="1" applyAlignment="1">
      <alignment horizontal="center"/>
    </xf>
    <xf numFmtId="9" fontId="9" fillId="2" borderId="14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4" fontId="3" fillId="0" borderId="0" xfId="0" applyNumberFormat="1" applyFont="1" applyFill="1"/>
    <xf numFmtId="0" fontId="10" fillId="0" borderId="0" xfId="0" applyFont="1"/>
    <xf numFmtId="4" fontId="11" fillId="0" borderId="0" xfId="0" applyNumberFormat="1" applyFont="1"/>
    <xf numFmtId="0" fontId="8" fillId="4" borderId="14" xfId="0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8" fillId="4" borderId="0" xfId="0" applyFont="1" applyFill="1"/>
    <xf numFmtId="0" fontId="8" fillId="4" borderId="11" xfId="0" applyFont="1" applyFill="1" applyBorder="1" applyAlignment="1">
      <alignment horizontal="center" vertical="center" wrapText="1"/>
    </xf>
    <xf numFmtId="0" fontId="1" fillId="4" borderId="0" xfId="0" applyFont="1" applyFill="1"/>
    <xf numFmtId="9" fontId="9" fillId="4" borderId="0" xfId="0" applyNumberFormat="1" applyFont="1" applyFill="1" applyAlignment="1">
      <alignment horizontal="center"/>
    </xf>
    <xf numFmtId="9" fontId="9" fillId="4" borderId="14" xfId="0" applyNumberFormat="1" applyFont="1" applyFill="1" applyBorder="1" applyAlignment="1">
      <alignment horizontal="center"/>
    </xf>
    <xf numFmtId="4" fontId="1" fillId="4" borderId="0" xfId="0" applyNumberFormat="1" applyFont="1" applyFill="1"/>
    <xf numFmtId="4" fontId="1" fillId="4" borderId="0" xfId="0" applyNumberFormat="1" applyFont="1" applyFill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0" fontId="1" fillId="5" borderId="13" xfId="0" applyFont="1" applyFill="1" applyBorder="1"/>
    <xf numFmtId="0" fontId="8" fillId="5" borderId="0" xfId="0" applyFont="1" applyFill="1"/>
    <xf numFmtId="4" fontId="1" fillId="5" borderId="0" xfId="0" applyNumberFormat="1" applyFont="1" applyFill="1"/>
    <xf numFmtId="4" fontId="1" fillId="5" borderId="0" xfId="0" applyNumberFormat="1" applyFont="1" applyFill="1" applyAlignment="1">
      <alignment horizontal="right"/>
    </xf>
    <xf numFmtId="4" fontId="1" fillId="5" borderId="15" xfId="0" applyNumberFormat="1" applyFont="1" applyFill="1" applyBorder="1" applyAlignment="1">
      <alignment horizontal="right"/>
    </xf>
    <xf numFmtId="0" fontId="1" fillId="5" borderId="16" xfId="0" applyFont="1" applyFill="1" applyBorder="1"/>
    <xf numFmtId="0" fontId="8" fillId="5" borderId="17" xfId="0" applyFont="1" applyFill="1" applyBorder="1"/>
    <xf numFmtId="4" fontId="1" fillId="5" borderId="3" xfId="0" applyNumberFormat="1" applyFont="1" applyFill="1" applyBorder="1"/>
    <xf numFmtId="4" fontId="1" fillId="5" borderId="3" xfId="0" applyNumberFormat="1" applyFont="1" applyFill="1" applyBorder="1" applyAlignment="1">
      <alignment horizontal="right"/>
    </xf>
    <xf numFmtId="4" fontId="1" fillId="5" borderId="18" xfId="0" applyNumberFormat="1" applyFont="1" applyFill="1" applyBorder="1" applyAlignment="1">
      <alignment horizontal="right"/>
    </xf>
    <xf numFmtId="4" fontId="3" fillId="5" borderId="0" xfId="0" applyNumberFormat="1" applyFont="1" applyFill="1"/>
    <xf numFmtId="4" fontId="3" fillId="5" borderId="3" xfId="0" applyNumberFormat="1" applyFont="1" applyFill="1" applyBorder="1"/>
    <xf numFmtId="4" fontId="1" fillId="5" borderId="0" xfId="0" applyNumberFormat="1" applyFont="1" applyFill="1" applyAlignment="1">
      <alignment horizontal="center"/>
    </xf>
    <xf numFmtId="2" fontId="1" fillId="5" borderId="0" xfId="0" applyNumberFormat="1" applyFont="1" applyFill="1"/>
    <xf numFmtId="4" fontId="1" fillId="5" borderId="3" xfId="0" applyNumberFormat="1" applyFont="1" applyFill="1" applyBorder="1" applyAlignment="1">
      <alignment horizontal="center"/>
    </xf>
    <xf numFmtId="2" fontId="1" fillId="5" borderId="3" xfId="0" applyNumberFormat="1" applyFont="1" applyFill="1" applyBorder="1"/>
    <xf numFmtId="0" fontId="1" fillId="0" borderId="0" xfId="0" applyFont="1" applyBorder="1"/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11" fillId="2" borderId="0" xfId="0" applyFont="1" applyFill="1"/>
    <xf numFmtId="165" fontId="13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2" fontId="1" fillId="2" borderId="0" xfId="0" applyNumberFormat="1" applyFont="1" applyFill="1"/>
    <xf numFmtId="4" fontId="3" fillId="2" borderId="0" xfId="0" applyNumberFormat="1" applyFont="1" applyFill="1"/>
    <xf numFmtId="0" fontId="1" fillId="0" borderId="13" xfId="0" applyFont="1" applyFill="1" applyBorder="1"/>
    <xf numFmtId="4" fontId="1" fillId="0" borderId="0" xfId="0" applyNumberFormat="1" applyFont="1" applyFill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8" fillId="2" borderId="14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20" xfId="0" applyFont="1" applyBorder="1"/>
    <xf numFmtId="4" fontId="1" fillId="0" borderId="20" xfId="0" applyNumberFormat="1" applyFont="1" applyBorder="1"/>
    <xf numFmtId="4" fontId="1" fillId="4" borderId="20" xfId="0" applyNumberFormat="1" applyFont="1" applyFill="1" applyBorder="1"/>
    <xf numFmtId="4" fontId="1" fillId="6" borderId="20" xfId="0" applyNumberFormat="1" applyFont="1" applyFill="1" applyBorder="1"/>
    <xf numFmtId="4" fontId="1" fillId="3" borderId="20" xfId="0" applyNumberFormat="1" applyFont="1" applyFill="1" applyBorder="1"/>
    <xf numFmtId="4" fontId="1" fillId="7" borderId="20" xfId="0" applyNumberFormat="1" applyFont="1" applyFill="1" applyBorder="1"/>
    <xf numFmtId="0" fontId="1" fillId="0" borderId="20" xfId="0" applyFont="1" applyFill="1" applyBorder="1"/>
    <xf numFmtId="0" fontId="8" fillId="0" borderId="20" xfId="0" applyFont="1" applyFill="1" applyBorder="1"/>
    <xf numFmtId="0" fontId="9" fillId="0" borderId="20" xfId="0" applyFont="1" applyBorder="1"/>
    <xf numFmtId="0" fontId="9" fillId="0" borderId="0" xfId="0" applyFont="1"/>
    <xf numFmtId="0" fontId="9" fillId="0" borderId="19" xfId="0" applyFont="1" applyBorder="1"/>
    <xf numFmtId="4" fontId="1" fillId="9" borderId="20" xfId="0" applyNumberFormat="1" applyFont="1" applyFill="1" applyBorder="1"/>
    <xf numFmtId="4" fontId="1" fillId="10" borderId="20" xfId="0" applyNumberFormat="1" applyFont="1" applyFill="1" applyBorder="1"/>
    <xf numFmtId="4" fontId="1" fillId="11" borderId="20" xfId="0" applyNumberFormat="1" applyFont="1" applyFill="1" applyBorder="1"/>
    <xf numFmtId="4" fontId="1" fillId="12" borderId="20" xfId="0" applyNumberFormat="1" applyFont="1" applyFill="1" applyBorder="1"/>
    <xf numFmtId="4" fontId="1" fillId="14" borderId="20" xfId="0" applyNumberFormat="1" applyFont="1" applyFill="1" applyBorder="1"/>
    <xf numFmtId="0" fontId="1" fillId="11" borderId="20" xfId="0" applyFont="1" applyFill="1" applyBorder="1"/>
    <xf numFmtId="0" fontId="1" fillId="0" borderId="21" xfId="0" applyFont="1" applyBorder="1"/>
    <xf numFmtId="0" fontId="1" fillId="0" borderId="4" xfId="0" applyFont="1" applyFill="1" applyBorder="1"/>
    <xf numFmtId="9" fontId="1" fillId="0" borderId="5" xfId="0" applyNumberFormat="1" applyFont="1" applyBorder="1" applyAlignment="1">
      <alignment horizontal="center"/>
    </xf>
    <xf numFmtId="0" fontId="1" fillId="3" borderId="4" xfId="0" applyFont="1" applyFill="1" applyBorder="1"/>
    <xf numFmtId="4" fontId="1" fillId="0" borderId="5" xfId="0" applyNumberFormat="1" applyFont="1" applyBorder="1"/>
    <xf numFmtId="0" fontId="1" fillId="9" borderId="4" xfId="0" applyFont="1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15" borderId="4" xfId="0" applyFont="1" applyFill="1" applyBorder="1"/>
    <xf numFmtId="0" fontId="1" fillId="14" borderId="4" xfId="0" applyFont="1" applyFill="1" applyBorder="1"/>
    <xf numFmtId="0" fontId="1" fillId="11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4" fontId="1" fillId="0" borderId="3" xfId="0" applyNumberFormat="1" applyFont="1" applyBorder="1"/>
    <xf numFmtId="4" fontId="1" fillId="0" borderId="7" xfId="0" applyNumberFormat="1" applyFont="1" applyBorder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/>
    <xf numFmtId="10" fontId="15" fillId="0" borderId="0" xfId="0" applyNumberFormat="1" applyFont="1"/>
    <xf numFmtId="2" fontId="15" fillId="0" borderId="0" xfId="0" applyNumberFormat="1" applyFont="1" applyBorder="1"/>
    <xf numFmtId="4" fontId="15" fillId="0" borderId="0" xfId="0" applyNumberFormat="1" applyFont="1" applyBorder="1"/>
    <xf numFmtId="4" fontId="17" fillId="0" borderId="0" xfId="0" applyNumberFormat="1" applyFont="1"/>
    <xf numFmtId="10" fontId="17" fillId="0" borderId="0" xfId="0" applyNumberFormat="1" applyFont="1"/>
    <xf numFmtId="0" fontId="16" fillId="0" borderId="0" xfId="0" applyFont="1" applyBorder="1" applyAlignment="1">
      <alignment horizontal="center"/>
    </xf>
    <xf numFmtId="4" fontId="1" fillId="16" borderId="2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Border="1"/>
    <xf numFmtId="10" fontId="18" fillId="0" borderId="0" xfId="0" applyNumberFormat="1" applyFont="1" applyBorder="1"/>
    <xf numFmtId="0" fontId="20" fillId="0" borderId="0" xfId="0" applyFont="1"/>
    <xf numFmtId="0" fontId="15" fillId="0" borderId="23" xfId="0" applyFont="1" applyBorder="1"/>
    <xf numFmtId="2" fontId="15" fillId="0" borderId="24" xfId="0" applyNumberFormat="1" applyFont="1" applyBorder="1"/>
    <xf numFmtId="0" fontId="15" fillId="0" borderId="25" xfId="0" applyFont="1" applyBorder="1"/>
    <xf numFmtId="2" fontId="15" fillId="0" borderId="26" xfId="0" applyNumberFormat="1" applyFont="1" applyBorder="1"/>
    <xf numFmtId="0" fontId="15" fillId="0" borderId="28" xfId="0" applyFont="1" applyBorder="1"/>
    <xf numFmtId="3" fontId="15" fillId="0" borderId="29" xfId="0" applyNumberFormat="1" applyFont="1" applyBorder="1"/>
    <xf numFmtId="4" fontId="19" fillId="10" borderId="0" xfId="0" applyNumberFormat="1" applyFont="1" applyFill="1" applyBorder="1"/>
    <xf numFmtId="0" fontId="19" fillId="0" borderId="1" xfId="0" applyFont="1" applyBorder="1" applyAlignment="1">
      <alignment horizontal="center"/>
    </xf>
    <xf numFmtId="4" fontId="15" fillId="0" borderId="20" xfId="0" applyNumberFormat="1" applyFont="1" applyBorder="1"/>
    <xf numFmtId="4" fontId="15" fillId="12" borderId="20" xfId="0" applyNumberFormat="1" applyFont="1" applyFill="1" applyBorder="1"/>
    <xf numFmtId="4" fontId="15" fillId="8" borderId="20" xfId="0" applyNumberFormat="1" applyFont="1" applyFill="1" applyBorder="1"/>
    <xf numFmtId="4" fontId="15" fillId="9" borderId="20" xfId="0" applyNumberFormat="1" applyFont="1" applyFill="1" applyBorder="1"/>
    <xf numFmtId="4" fontId="15" fillId="13" borderId="20" xfId="0" applyNumberFormat="1" applyFont="1" applyFill="1" applyBorder="1"/>
    <xf numFmtId="4" fontId="15" fillId="17" borderId="20" xfId="0" applyNumberFormat="1" applyFont="1" applyFill="1" applyBorder="1"/>
    <xf numFmtId="4" fontId="15" fillId="7" borderId="20" xfId="0" applyNumberFormat="1" applyFont="1" applyFill="1" applyBorder="1"/>
    <xf numFmtId="4" fontId="15" fillId="11" borderId="20" xfId="0" applyNumberFormat="1" applyFont="1" applyFill="1" applyBorder="1"/>
    <xf numFmtId="4" fontId="17" fillId="0" borderId="20" xfId="0" applyNumberFormat="1" applyFont="1" applyBorder="1"/>
    <xf numFmtId="4" fontId="15" fillId="0" borderId="22" xfId="0" applyNumberFormat="1" applyFont="1" applyBorder="1"/>
    <xf numFmtId="4" fontId="15" fillId="16" borderId="22" xfId="0" applyNumberFormat="1" applyFont="1" applyFill="1" applyBorder="1"/>
    <xf numFmtId="4" fontId="19" fillId="0" borderId="1" xfId="0" applyNumberFormat="1" applyFont="1" applyBorder="1"/>
    <xf numFmtId="0" fontId="19" fillId="0" borderId="1" xfId="0" applyFont="1" applyBorder="1"/>
    <xf numFmtId="0" fontId="19" fillId="0" borderId="0" xfId="0" applyFont="1" applyBorder="1"/>
    <xf numFmtId="0" fontId="15" fillId="0" borderId="3" xfId="0" applyFont="1" applyBorder="1"/>
    <xf numFmtId="4" fontId="15" fillId="0" borderId="3" xfId="0" applyNumberFormat="1" applyFont="1" applyBorder="1"/>
    <xf numFmtId="4" fontId="19" fillId="0" borderId="30" xfId="0" applyNumberFormat="1" applyFont="1" applyBorder="1"/>
    <xf numFmtId="2" fontId="19" fillId="0" borderId="0" xfId="0" applyNumberFormat="1" applyFont="1" applyBorder="1" applyAlignment="1">
      <alignment horizontal="right"/>
    </xf>
    <xf numFmtId="4" fontId="18" fillId="0" borderId="3" xfId="0" applyNumberFormat="1" applyFont="1" applyBorder="1"/>
    <xf numFmtId="0" fontId="18" fillId="0" borderId="0" xfId="0" applyFont="1" applyBorder="1"/>
    <xf numFmtId="10" fontId="18" fillId="0" borderId="3" xfId="0" applyNumberFormat="1" applyFont="1" applyBorder="1"/>
    <xf numFmtId="9" fontId="15" fillId="18" borderId="0" xfId="0" applyNumberFormat="1" applyFont="1" applyFill="1" applyBorder="1"/>
    <xf numFmtId="0" fontId="15" fillId="18" borderId="31" xfId="0" applyFont="1" applyFill="1" applyBorder="1"/>
    <xf numFmtId="4" fontId="15" fillId="18" borderId="32" xfId="0" applyNumberFormat="1" applyFont="1" applyFill="1" applyBorder="1"/>
    <xf numFmtId="0" fontId="15" fillId="18" borderId="7" xfId="0" applyFont="1" applyFill="1" applyBorder="1"/>
    <xf numFmtId="0" fontId="19" fillId="10" borderId="0" xfId="0" applyFont="1" applyFill="1" applyBorder="1"/>
    <xf numFmtId="0" fontId="19" fillId="18" borderId="1" xfId="0" applyFont="1" applyFill="1" applyBorder="1" applyAlignment="1">
      <alignment horizontal="center"/>
    </xf>
    <xf numFmtId="4" fontId="19" fillId="18" borderId="7" xfId="0" applyNumberFormat="1" applyFont="1" applyFill="1" applyBorder="1"/>
    <xf numFmtId="4" fontId="19" fillId="18" borderId="3" xfId="0" applyNumberFormat="1" applyFont="1" applyFill="1" applyBorder="1"/>
    <xf numFmtId="0" fontId="19" fillId="18" borderId="3" xfId="0" applyFont="1" applyFill="1" applyBorder="1"/>
    <xf numFmtId="0" fontId="19" fillId="18" borderId="6" xfId="0" applyFont="1" applyFill="1" applyBorder="1"/>
    <xf numFmtId="0" fontId="21" fillId="0" borderId="0" xfId="0" applyFont="1"/>
    <xf numFmtId="0" fontId="1" fillId="11" borderId="1" xfId="0" applyFont="1" applyFill="1" applyBorder="1"/>
    <xf numFmtId="4" fontId="1" fillId="11" borderId="1" xfId="0" applyNumberFormat="1" applyFont="1" applyFill="1" applyBorder="1"/>
    <xf numFmtId="0" fontId="22" fillId="0" borderId="0" xfId="0" applyFont="1" applyBorder="1" applyAlignment="1">
      <alignment horizontal="left"/>
    </xf>
    <xf numFmtId="3" fontId="1" fillId="19" borderId="0" xfId="0" applyNumberFormat="1" applyFont="1" applyFill="1" applyBorder="1" applyAlignment="1">
      <alignment horizontal="right"/>
    </xf>
    <xf numFmtId="164" fontId="1" fillId="19" borderId="0" xfId="0" applyNumberFormat="1" applyFont="1" applyFill="1" applyBorder="1" applyAlignment="1">
      <alignment horizontal="right"/>
    </xf>
    <xf numFmtId="4" fontId="1" fillId="19" borderId="0" xfId="0" applyNumberFormat="1" applyFont="1" applyFill="1" applyBorder="1" applyAlignment="1">
      <alignment horizontal="right"/>
    </xf>
    <xf numFmtId="9" fontId="1" fillId="19" borderId="0" xfId="0" applyNumberFormat="1" applyFont="1" applyFill="1" applyBorder="1" applyAlignment="1">
      <alignment horizontal="center" vertical="center"/>
    </xf>
    <xf numFmtId="9" fontId="1" fillId="19" borderId="3" xfId="0" applyNumberFormat="1" applyFont="1" applyFill="1" applyBorder="1" applyAlignment="1">
      <alignment horizontal="center" vertical="center"/>
    </xf>
    <xf numFmtId="4" fontId="1" fillId="19" borderId="3" xfId="0" applyNumberFormat="1" applyFont="1" applyFill="1" applyBorder="1" applyAlignment="1">
      <alignment horizontal="right"/>
    </xf>
    <xf numFmtId="3" fontId="3" fillId="19" borderId="5" xfId="0" applyNumberFormat="1" applyFont="1" applyFill="1" applyBorder="1"/>
    <xf numFmtId="0" fontId="1" fillId="19" borderId="0" xfId="0" applyFont="1" applyFill="1"/>
    <xf numFmtId="0" fontId="1" fillId="19" borderId="0" xfId="0" applyFont="1" applyFill="1" applyAlignment="1">
      <alignment horizontal="center"/>
    </xf>
    <xf numFmtId="4" fontId="1" fillId="19" borderId="0" xfId="0" applyNumberFormat="1" applyFont="1" applyFill="1" applyAlignment="1">
      <alignment horizontal="center"/>
    </xf>
    <xf numFmtId="2" fontId="1" fillId="19" borderId="0" xfId="0" applyNumberFormat="1" applyFont="1" applyFill="1"/>
    <xf numFmtId="0" fontId="8" fillId="19" borderId="0" xfId="0" applyFont="1" applyFill="1" applyAlignment="1">
      <alignment horizontal="center"/>
    </xf>
    <xf numFmtId="4" fontId="8" fillId="19" borderId="0" xfId="0" applyNumberFormat="1" applyFont="1" applyFill="1" applyAlignment="1">
      <alignment horizontal="center"/>
    </xf>
    <xf numFmtId="4" fontId="8" fillId="19" borderId="0" xfId="0" applyNumberFormat="1" applyFont="1" applyFill="1"/>
    <xf numFmtId="0" fontId="8" fillId="19" borderId="17" xfId="0" applyFont="1" applyFill="1" applyBorder="1" applyAlignment="1">
      <alignment horizontal="center"/>
    </xf>
    <xf numFmtId="4" fontId="8" fillId="19" borderId="17" xfId="0" applyNumberFormat="1" applyFont="1" applyFill="1" applyBorder="1" applyAlignment="1">
      <alignment horizontal="center"/>
    </xf>
    <xf numFmtId="4" fontId="8" fillId="19" borderId="17" xfId="0" applyNumberFormat="1" applyFont="1" applyFill="1" applyBorder="1"/>
    <xf numFmtId="4" fontId="3" fillId="19" borderId="0" xfId="0" applyNumberFormat="1" applyFont="1" applyFill="1"/>
    <xf numFmtId="4" fontId="7" fillId="19" borderId="0" xfId="0" applyNumberFormat="1" applyFont="1" applyFill="1"/>
    <xf numFmtId="4" fontId="7" fillId="19" borderId="0" xfId="0" applyNumberFormat="1" applyFont="1" applyFill="1" applyAlignment="1">
      <alignment horizontal="right"/>
    </xf>
    <xf numFmtId="4" fontId="3" fillId="19" borderId="0" xfId="0" applyNumberFormat="1" applyFont="1" applyFill="1" applyAlignment="1">
      <alignment horizontal="right"/>
    </xf>
    <xf numFmtId="4" fontId="1" fillId="19" borderId="0" xfId="0" applyNumberFormat="1" applyFont="1" applyFill="1"/>
    <xf numFmtId="4" fontId="7" fillId="19" borderId="17" xfId="0" applyNumberFormat="1" applyFont="1" applyFill="1" applyBorder="1"/>
    <xf numFmtId="0" fontId="15" fillId="19" borderId="0" xfId="0" applyFont="1" applyFill="1" applyBorder="1"/>
    <xf numFmtId="3" fontId="15" fillId="19" borderId="26" xfId="0" applyNumberFormat="1" applyFont="1" applyFill="1" applyBorder="1"/>
    <xf numFmtId="3" fontId="15" fillId="19" borderId="27" xfId="0" applyNumberFormat="1" applyFont="1" applyFill="1" applyBorder="1"/>
    <xf numFmtId="0" fontId="15" fillId="19" borderId="0" xfId="0" applyFont="1" applyFill="1" applyBorder="1" applyAlignment="1">
      <alignment horizontal="center"/>
    </xf>
    <xf numFmtId="4" fontId="15" fillId="19" borderId="20" xfId="0" applyNumberFormat="1" applyFont="1" applyFill="1" applyBorder="1"/>
    <xf numFmtId="2" fontId="15" fillId="19" borderId="0" xfId="0" applyNumberFormat="1" applyFont="1" applyFill="1" applyBorder="1"/>
    <xf numFmtId="0" fontId="23" fillId="0" borderId="20" xfId="0" applyFont="1" applyBorder="1"/>
    <xf numFmtId="1" fontId="1" fillId="2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65" fontId="13" fillId="19" borderId="0" xfId="0" applyNumberFormat="1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4" fontId="15" fillId="18" borderId="21" xfId="0" applyNumberFormat="1" applyFont="1" applyFill="1" applyBorder="1" applyAlignment="1">
      <alignment horizontal="left"/>
    </xf>
    <xf numFmtId="4" fontId="15" fillId="18" borderId="31" xfId="0" applyNumberFormat="1" applyFont="1" applyFill="1" applyBorder="1" applyAlignment="1">
      <alignment horizontal="left"/>
    </xf>
    <xf numFmtId="4" fontId="15" fillId="18" borderId="4" xfId="0" applyNumberFormat="1" applyFont="1" applyFill="1" applyBorder="1" applyAlignment="1">
      <alignment horizontal="left"/>
    </xf>
    <xf numFmtId="4" fontId="15" fillId="18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  <color rgb="FF66CCFF"/>
      <color rgb="FFCCFFFF"/>
      <color rgb="FFFFFFCC"/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810380</xdr:colOff>
      <xdr:row>3</xdr:row>
      <xdr:rowOff>57151</xdr:rowOff>
    </xdr:from>
    <xdr:to>
      <xdr:col>10</xdr:col>
      <xdr:colOff>552450</xdr:colOff>
      <xdr:row>11</xdr:row>
      <xdr:rowOff>9526</xdr:rowOff>
    </xdr:to>
    <xdr:pic>
      <xdr:nvPicPr>
        <xdr:cNvPr id="2" name="Image 1" descr="Résultat de recherche d'images pour &quot;taxe au sac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830" y="838201"/>
          <a:ext cx="168517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J24" sqref="J24"/>
    </sheetView>
  </sheetViews>
  <sheetFormatPr baseColWidth="10" defaultRowHeight="16.5" x14ac:dyDescent="0.3"/>
  <cols>
    <col min="1" max="1" width="27.77734375" style="1" customWidth="1"/>
    <col min="2" max="2" width="10.21875" style="1" customWidth="1"/>
    <col min="3" max="3" width="10.5546875" style="1" customWidth="1"/>
    <col min="4" max="4" width="11" style="1" customWidth="1"/>
    <col min="5" max="5" width="11.21875" style="1" customWidth="1"/>
    <col min="6" max="6" width="11" style="1" customWidth="1"/>
    <col min="7" max="7" width="2.6640625" style="1" customWidth="1"/>
    <col min="8" max="8" width="10.5546875" style="1" customWidth="1"/>
    <col min="9" max="9" width="11.5546875" style="1"/>
    <col min="10" max="11" width="11.109375" style="1" customWidth="1"/>
    <col min="12" max="16384" width="11.5546875" style="1"/>
  </cols>
  <sheetData>
    <row r="1" spans="1:11" ht="28.5" customHeight="1" x14ac:dyDescent="0.3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3" spans="1:11" x14ac:dyDescent="0.3">
      <c r="A3" s="232" t="s">
        <v>2</v>
      </c>
      <c r="B3" s="233"/>
      <c r="C3" s="233"/>
      <c r="D3" s="234"/>
      <c r="E3" s="44"/>
      <c r="F3" s="28"/>
    </row>
    <row r="4" spans="1:11" x14ac:dyDescent="0.3">
      <c r="A4" s="12" t="s">
        <v>4</v>
      </c>
      <c r="B4" s="13">
        <v>2016</v>
      </c>
      <c r="C4" s="13" t="s">
        <v>3</v>
      </c>
      <c r="D4" s="23">
        <v>2018</v>
      </c>
      <c r="E4" s="28"/>
    </row>
    <row r="5" spans="1:11" ht="8.25" customHeight="1" x14ac:dyDescent="0.3">
      <c r="A5" s="18"/>
      <c r="B5" s="15"/>
      <c r="C5" s="15"/>
      <c r="D5" s="19"/>
      <c r="E5" s="29"/>
    </row>
    <row r="6" spans="1:11" x14ac:dyDescent="0.3">
      <c r="A6" s="18" t="s">
        <v>1</v>
      </c>
      <c r="B6" s="192">
        <v>2406</v>
      </c>
      <c r="C6" s="20"/>
      <c r="D6" s="198">
        <v>2470</v>
      </c>
      <c r="E6" s="30"/>
      <c r="I6"/>
    </row>
    <row r="7" spans="1:11" x14ac:dyDescent="0.3">
      <c r="A7" s="18" t="s">
        <v>17</v>
      </c>
      <c r="B7" s="193">
        <v>347.17</v>
      </c>
      <c r="C7" s="21" t="s">
        <v>5</v>
      </c>
      <c r="D7" s="25">
        <f>(B7/B6)*D6</f>
        <v>356.40477971737323</v>
      </c>
      <c r="E7" s="31"/>
    </row>
    <row r="8" spans="1:11" x14ac:dyDescent="0.3">
      <c r="A8" s="18" t="s">
        <v>6</v>
      </c>
      <c r="B8" s="194">
        <v>0</v>
      </c>
      <c r="C8" s="195">
        <v>0.01</v>
      </c>
      <c r="D8" s="26">
        <f>(B8*C8)+B8</f>
        <v>0</v>
      </c>
      <c r="E8" s="32"/>
    </row>
    <row r="9" spans="1:11" x14ac:dyDescent="0.3">
      <c r="A9" s="18" t="s">
        <v>7</v>
      </c>
      <c r="B9" s="194">
        <v>920</v>
      </c>
      <c r="C9" s="195">
        <v>0.01</v>
      </c>
      <c r="D9" s="26">
        <f>ROUND(((B9*C9)+B9)*2,1)/2</f>
        <v>929.2</v>
      </c>
      <c r="E9" s="32"/>
    </row>
    <row r="10" spans="1:11" x14ac:dyDescent="0.3">
      <c r="A10" s="18" t="s">
        <v>18</v>
      </c>
      <c r="B10" s="192">
        <v>52</v>
      </c>
      <c r="C10" s="20"/>
      <c r="D10" s="24">
        <f>B10</f>
        <v>52</v>
      </c>
      <c r="E10" s="30"/>
    </row>
    <row r="11" spans="1:11" x14ac:dyDescent="0.3">
      <c r="A11" s="18" t="s">
        <v>8</v>
      </c>
      <c r="B11" s="194">
        <v>182</v>
      </c>
      <c r="C11" s="195">
        <v>0</v>
      </c>
      <c r="D11" s="26">
        <f>ROUND(((B11*C11)+B11)*2,1)/2</f>
        <v>182</v>
      </c>
      <c r="E11" s="32"/>
    </row>
    <row r="12" spans="1:11" x14ac:dyDescent="0.3">
      <c r="A12" s="22" t="s">
        <v>19</v>
      </c>
      <c r="B12" s="197">
        <v>-350</v>
      </c>
      <c r="C12" s="196">
        <v>0</v>
      </c>
      <c r="D12" s="27">
        <f>(B12*C12)+B12</f>
        <v>-350</v>
      </c>
      <c r="E12" s="32"/>
    </row>
    <row r="15" spans="1:11" x14ac:dyDescent="0.3">
      <c r="A15" s="33" t="s">
        <v>23</v>
      </c>
      <c r="B15" s="226" t="s">
        <v>21</v>
      </c>
      <c r="C15" s="227"/>
      <c r="D15" s="227"/>
      <c r="E15" s="227"/>
      <c r="F15" s="228"/>
      <c r="H15" s="226" t="s">
        <v>22</v>
      </c>
      <c r="I15" s="227"/>
      <c r="J15" s="227"/>
      <c r="K15" s="228"/>
    </row>
    <row r="16" spans="1:11" ht="16.5" customHeight="1" x14ac:dyDescent="0.3">
      <c r="B16" s="2" t="s">
        <v>10</v>
      </c>
      <c r="C16" s="4" t="s">
        <v>25</v>
      </c>
      <c r="D16" s="2" t="s">
        <v>12</v>
      </c>
      <c r="E16" s="33" t="s">
        <v>11</v>
      </c>
      <c r="F16" s="37" t="s">
        <v>20</v>
      </c>
      <c r="H16" s="3" t="s">
        <v>15</v>
      </c>
      <c r="I16" s="3" t="s">
        <v>14</v>
      </c>
      <c r="J16" s="36" t="s">
        <v>11</v>
      </c>
      <c r="K16" s="37" t="s">
        <v>20</v>
      </c>
    </row>
    <row r="17" spans="1:11" ht="15.75" customHeight="1" x14ac:dyDescent="0.3">
      <c r="B17" s="5"/>
      <c r="C17" s="43">
        <v>0.02</v>
      </c>
      <c r="D17" s="5"/>
      <c r="E17" s="5"/>
      <c r="F17" s="38"/>
      <c r="H17" s="5"/>
      <c r="I17" s="5"/>
      <c r="J17" s="5"/>
      <c r="K17" s="41"/>
    </row>
    <row r="18" spans="1:11" x14ac:dyDescent="0.3">
      <c r="A18" s="1" t="s">
        <v>9</v>
      </c>
      <c r="B18" s="8">
        <f>D7</f>
        <v>356.40477971737323</v>
      </c>
      <c r="C18" s="8"/>
      <c r="D18" s="11">
        <f>D8</f>
        <v>0</v>
      </c>
      <c r="E18" s="34">
        <f>D18*B18</f>
        <v>0</v>
      </c>
      <c r="F18" s="39">
        <f>ROUND(((E18*8%)+E18)*2,1)/2</f>
        <v>0</v>
      </c>
      <c r="H18" s="10">
        <f>D10</f>
        <v>52</v>
      </c>
      <c r="I18" s="6">
        <f>D9</f>
        <v>929.2</v>
      </c>
      <c r="J18" s="34">
        <f>I18*H18</f>
        <v>48318.400000000001</v>
      </c>
      <c r="K18" s="39">
        <f>ROUND(((J18*8%)+J18)*2,1)/2</f>
        <v>52183.85</v>
      </c>
    </row>
    <row r="19" spans="1:11" ht="9" customHeight="1" x14ac:dyDescent="0.3">
      <c r="B19" s="9"/>
      <c r="C19" s="9"/>
      <c r="D19" s="9"/>
      <c r="F19" s="39"/>
      <c r="J19" s="6"/>
      <c r="K19" s="39"/>
    </row>
    <row r="20" spans="1:11" x14ac:dyDescent="0.3">
      <c r="A20" s="1" t="s">
        <v>13</v>
      </c>
      <c r="B20" s="8">
        <f>D7</f>
        <v>356.40477971737323</v>
      </c>
      <c r="C20" s="8"/>
      <c r="D20" s="11">
        <f>D11</f>
        <v>182</v>
      </c>
      <c r="E20" s="34">
        <f>ROUND((B20*D20)*2,1)/2</f>
        <v>64865.65</v>
      </c>
      <c r="F20" s="39">
        <f t="shared" ref="F20" si="0">ROUND(((E20*8%)+E20)*2,1)/2</f>
        <v>70054.899999999994</v>
      </c>
      <c r="H20" s="6"/>
      <c r="I20" s="6"/>
      <c r="J20" s="34">
        <f>E20</f>
        <v>64865.65</v>
      </c>
      <c r="K20" s="39">
        <f t="shared" ref="K20:K22" si="1">ROUND(((J20*8%)+J20)*2,1)/2</f>
        <v>70054.899999999994</v>
      </c>
    </row>
    <row r="21" spans="1:11" ht="8.25" customHeight="1" x14ac:dyDescent="0.3">
      <c r="B21" s="9"/>
      <c r="C21" s="9"/>
      <c r="D21" s="11"/>
      <c r="E21" s="7"/>
      <c r="F21" s="39"/>
      <c r="G21" s="6"/>
      <c r="J21" s="7"/>
      <c r="K21" s="39"/>
    </row>
    <row r="22" spans="1:11" x14ac:dyDescent="0.3">
      <c r="A22" s="1" t="s">
        <v>16</v>
      </c>
      <c r="B22" s="8">
        <f>D7</f>
        <v>356.40477971737323</v>
      </c>
      <c r="C22" s="8">
        <f>-(B22*C17)</f>
        <v>-7.1280955943474646</v>
      </c>
      <c r="D22" s="11">
        <f>D12</f>
        <v>-350</v>
      </c>
      <c r="E22" s="35">
        <f>ROUND(((C22+B22)*D22)*2,1)/2</f>
        <v>-122246.85</v>
      </c>
      <c r="F22" s="40">
        <f>ROUND((((E22+C22)*8%)+E22)*2,1)/2</f>
        <v>-132027.15</v>
      </c>
      <c r="J22" s="35">
        <f>E22</f>
        <v>-122246.85</v>
      </c>
      <c r="K22" s="40">
        <f t="shared" si="1"/>
        <v>-132026.6</v>
      </c>
    </row>
    <row r="23" spans="1:11" ht="8.25" customHeight="1" x14ac:dyDescent="0.3">
      <c r="F23" s="41"/>
      <c r="J23" s="6"/>
      <c r="K23" s="39"/>
    </row>
    <row r="24" spans="1:11" x14ac:dyDescent="0.3">
      <c r="A24" s="42" t="s">
        <v>24</v>
      </c>
      <c r="E24" s="34">
        <f>SUM(E18:E22)</f>
        <v>-57381.200000000004</v>
      </c>
      <c r="F24" s="39">
        <f>SUM(F18:F22)</f>
        <v>-61972.25</v>
      </c>
      <c r="J24" s="34">
        <f>SUM(J18:J22)</f>
        <v>-9062.8000000000029</v>
      </c>
      <c r="K24" s="39">
        <f>SUM(K18:K22)</f>
        <v>-9787.8500000000058</v>
      </c>
    </row>
    <row r="26" spans="1:11" x14ac:dyDescent="0.3">
      <c r="B26" s="199"/>
      <c r="C26" s="41" t="s">
        <v>102</v>
      </c>
    </row>
  </sheetData>
  <mergeCells count="4">
    <mergeCell ref="B15:F15"/>
    <mergeCell ref="H15:K15"/>
    <mergeCell ref="A1:K1"/>
    <mergeCell ref="A3:D3"/>
  </mergeCells>
  <printOptions horizontalCentered="1"/>
  <pageMargins left="0" right="0" top="0.35433070866141736" bottom="0.35433070866141736" header="0.31496062992125984" footer="0.31496062992125984"/>
  <pageSetup paperSize="9" scale="88" orientation="landscape" r:id="rId1"/>
  <ignoredErrors>
    <ignoredError sqref="D7 D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16" workbookViewId="0">
      <selection activeCell="I26" sqref="I26"/>
    </sheetView>
  </sheetViews>
  <sheetFormatPr baseColWidth="10" defaultRowHeight="16.5" x14ac:dyDescent="0.3"/>
  <cols>
    <col min="1" max="1" width="11.5546875" style="1"/>
    <col min="2" max="2" width="18.88671875" style="1" customWidth="1"/>
    <col min="3" max="4" width="9.109375" style="1" customWidth="1"/>
    <col min="5" max="5" width="12.44140625" style="1" customWidth="1"/>
    <col min="6" max="16384" width="11.5546875" style="1"/>
  </cols>
  <sheetData>
    <row r="1" spans="1:12" ht="27.75" x14ac:dyDescent="0.4">
      <c r="A1" s="239" t="s">
        <v>60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3" spans="1:12" ht="21" x14ac:dyDescent="0.35">
      <c r="A3" s="241" t="s">
        <v>59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56" t="s">
        <v>26</v>
      </c>
    </row>
    <row r="4" spans="1:12" ht="22.5" customHeight="1" x14ac:dyDescent="0.3">
      <c r="A4" s="58" t="s">
        <v>27</v>
      </c>
      <c r="B4" s="58" t="s">
        <v>4</v>
      </c>
      <c r="C4" s="240" t="s">
        <v>105</v>
      </c>
      <c r="D4" s="240"/>
      <c r="E4" s="240"/>
      <c r="F4" s="240"/>
      <c r="G4" s="240"/>
      <c r="H4" s="240" t="s">
        <v>29</v>
      </c>
      <c r="I4" s="240"/>
      <c r="J4" s="240"/>
      <c r="K4" s="240"/>
      <c r="L4" s="57">
        <f>Incinérables!B6</f>
        <v>2406</v>
      </c>
    </row>
    <row r="5" spans="1:12" ht="33" x14ac:dyDescent="0.3">
      <c r="A5" s="59"/>
      <c r="B5" s="60"/>
      <c r="C5" s="61" t="s">
        <v>63</v>
      </c>
      <c r="D5" s="61" t="s">
        <v>62</v>
      </c>
      <c r="E5" s="61" t="s">
        <v>61</v>
      </c>
      <c r="F5" s="61" t="s">
        <v>11</v>
      </c>
      <c r="G5" s="61" t="s">
        <v>20</v>
      </c>
      <c r="H5" s="61" t="s">
        <v>30</v>
      </c>
      <c r="I5" s="61" t="s">
        <v>31</v>
      </c>
      <c r="J5" s="61" t="s">
        <v>11</v>
      </c>
      <c r="K5" s="61" t="s">
        <v>20</v>
      </c>
      <c r="L5" s="45"/>
    </row>
    <row r="6" spans="1:12" ht="13.5" customHeight="1" x14ac:dyDescent="0.3">
      <c r="A6" s="59"/>
      <c r="B6" s="62"/>
      <c r="C6" s="62"/>
      <c r="D6" s="62"/>
      <c r="E6" s="62"/>
      <c r="F6" s="62"/>
      <c r="G6" s="63">
        <v>0.08</v>
      </c>
      <c r="H6" s="62"/>
      <c r="I6" s="62"/>
      <c r="J6" s="62"/>
      <c r="K6" s="64">
        <v>0.08</v>
      </c>
      <c r="L6" s="45"/>
    </row>
    <row r="7" spans="1:12" ht="16.5" customHeight="1" x14ac:dyDescent="0.3">
      <c r="A7" s="59" t="s">
        <v>56</v>
      </c>
      <c r="B7" s="62" t="s">
        <v>33</v>
      </c>
      <c r="C7" s="200">
        <v>30</v>
      </c>
      <c r="D7" s="201">
        <v>0</v>
      </c>
      <c r="E7" s="202">
        <v>490</v>
      </c>
      <c r="F7" s="65">
        <f>(E7*D7)+(E7*C7)</f>
        <v>14700</v>
      </c>
      <c r="G7" s="66">
        <f>(F7*$G$6)+F7</f>
        <v>15876</v>
      </c>
      <c r="H7" s="209">
        <v>65.23</v>
      </c>
      <c r="I7" s="202">
        <v>243</v>
      </c>
      <c r="J7" s="65">
        <f>ROUND((I7*H7)*2,1)/2</f>
        <v>15850.9</v>
      </c>
      <c r="K7" s="67">
        <f>ROUND(((J7*$K$6)+J7)*2,1)/2</f>
        <v>17118.95</v>
      </c>
      <c r="L7" s="45"/>
    </row>
    <row r="8" spans="1:12" ht="17.25" customHeight="1" x14ac:dyDescent="0.3">
      <c r="A8" s="59" t="s">
        <v>32</v>
      </c>
      <c r="B8" s="60" t="s">
        <v>35</v>
      </c>
      <c r="C8" s="203">
        <v>30</v>
      </c>
      <c r="D8" s="204">
        <v>0</v>
      </c>
      <c r="E8" s="205">
        <v>490</v>
      </c>
      <c r="F8" s="65">
        <f t="shared" ref="F8:F21" si="0">(E8*D8)+(E8*C8)</f>
        <v>14700</v>
      </c>
      <c r="G8" s="66">
        <f t="shared" ref="G8:G21" si="1">(F8*$G$6)+F8</f>
        <v>15876</v>
      </c>
      <c r="H8" s="210">
        <v>116.22</v>
      </c>
      <c r="I8" s="205">
        <v>115</v>
      </c>
      <c r="J8" s="65">
        <f t="shared" ref="J8:J21" si="2">ROUND((I8*H8)*2,1)/2</f>
        <v>13365.3</v>
      </c>
      <c r="K8" s="67">
        <f t="shared" ref="K8:K21" si="3">ROUND(((J8*$K$6)+J8)*2,1)/2</f>
        <v>14434.5</v>
      </c>
      <c r="L8" s="45"/>
    </row>
    <row r="9" spans="1:12" ht="17.25" customHeight="1" x14ac:dyDescent="0.3">
      <c r="A9" s="59" t="s">
        <v>34</v>
      </c>
      <c r="B9" s="60" t="s">
        <v>37</v>
      </c>
      <c r="C9" s="203">
        <v>23</v>
      </c>
      <c r="D9" s="204">
        <v>0</v>
      </c>
      <c r="E9" s="205">
        <v>490</v>
      </c>
      <c r="F9" s="65">
        <f t="shared" si="0"/>
        <v>11270</v>
      </c>
      <c r="G9" s="66">
        <f t="shared" si="1"/>
        <v>12171.6</v>
      </c>
      <c r="H9" s="210">
        <v>107.32</v>
      </c>
      <c r="I9" s="205">
        <v>100</v>
      </c>
      <c r="J9" s="65">
        <f t="shared" si="2"/>
        <v>10732</v>
      </c>
      <c r="K9" s="67">
        <f t="shared" si="3"/>
        <v>11590.55</v>
      </c>
      <c r="L9" s="45"/>
    </row>
    <row r="10" spans="1:12" ht="17.25" customHeight="1" x14ac:dyDescent="0.3">
      <c r="A10" s="59" t="s">
        <v>36</v>
      </c>
      <c r="B10" s="60" t="s">
        <v>39</v>
      </c>
      <c r="C10" s="203">
        <v>11</v>
      </c>
      <c r="D10" s="204">
        <v>0</v>
      </c>
      <c r="E10" s="205">
        <v>490</v>
      </c>
      <c r="F10" s="65">
        <f t="shared" si="0"/>
        <v>5390</v>
      </c>
      <c r="G10" s="66">
        <f t="shared" si="1"/>
        <v>5821.2</v>
      </c>
      <c r="H10" s="210">
        <v>47.99</v>
      </c>
      <c r="I10" s="205">
        <v>-35</v>
      </c>
      <c r="J10" s="65">
        <f t="shared" si="2"/>
        <v>-1679.65</v>
      </c>
      <c r="K10" s="67">
        <f t="shared" si="3"/>
        <v>-1814</v>
      </c>
      <c r="L10" s="45"/>
    </row>
    <row r="11" spans="1:12" x14ac:dyDescent="0.3">
      <c r="A11" s="59" t="s">
        <v>57</v>
      </c>
      <c r="B11" s="60" t="s">
        <v>41</v>
      </c>
      <c r="C11" s="203">
        <v>40</v>
      </c>
      <c r="D11" s="204">
        <v>0</v>
      </c>
      <c r="E11" s="205">
        <v>490</v>
      </c>
      <c r="F11" s="65">
        <f t="shared" si="0"/>
        <v>19600</v>
      </c>
      <c r="G11" s="66">
        <f t="shared" si="1"/>
        <v>21168</v>
      </c>
      <c r="H11" s="210">
        <v>165.16</v>
      </c>
      <c r="I11" s="205">
        <v>-30</v>
      </c>
      <c r="J11" s="65">
        <f t="shared" si="2"/>
        <v>-4954.8</v>
      </c>
      <c r="K11" s="67">
        <f t="shared" si="3"/>
        <v>-5351.2</v>
      </c>
      <c r="L11" s="45"/>
    </row>
    <row r="12" spans="1:12" x14ac:dyDescent="0.3">
      <c r="A12" s="59" t="s">
        <v>38</v>
      </c>
      <c r="B12" s="60" t="s">
        <v>43</v>
      </c>
      <c r="C12" s="203">
        <v>24</v>
      </c>
      <c r="D12" s="204">
        <v>0</v>
      </c>
      <c r="E12" s="205">
        <v>490</v>
      </c>
      <c r="F12" s="65">
        <f t="shared" si="0"/>
        <v>11760</v>
      </c>
      <c r="G12" s="66">
        <f t="shared" si="1"/>
        <v>12700.8</v>
      </c>
      <c r="H12" s="210">
        <v>111.16</v>
      </c>
      <c r="I12" s="205">
        <v>-86.5</v>
      </c>
      <c r="J12" s="65">
        <f t="shared" si="2"/>
        <v>-9615.35</v>
      </c>
      <c r="K12" s="67">
        <f t="shared" si="3"/>
        <v>-10384.6</v>
      </c>
      <c r="L12" s="45"/>
    </row>
    <row r="13" spans="1:12" x14ac:dyDescent="0.3">
      <c r="A13" s="59" t="s">
        <v>40</v>
      </c>
      <c r="B13" s="60" t="s">
        <v>45</v>
      </c>
      <c r="C13" s="203">
        <v>12</v>
      </c>
      <c r="D13" s="204">
        <v>0</v>
      </c>
      <c r="E13" s="205">
        <v>95</v>
      </c>
      <c r="F13" s="65">
        <f t="shared" si="0"/>
        <v>1140</v>
      </c>
      <c r="G13" s="66">
        <f t="shared" si="1"/>
        <v>1231.2</v>
      </c>
      <c r="H13" s="210">
        <v>43.56</v>
      </c>
      <c r="I13" s="205">
        <v>200</v>
      </c>
      <c r="J13" s="65">
        <f t="shared" si="2"/>
        <v>8712</v>
      </c>
      <c r="K13" s="67">
        <f t="shared" si="3"/>
        <v>9408.9500000000007</v>
      </c>
      <c r="L13" s="45"/>
    </row>
    <row r="14" spans="1:12" x14ac:dyDescent="0.3">
      <c r="A14" s="59" t="s">
        <v>42</v>
      </c>
      <c r="B14" s="60" t="s">
        <v>46</v>
      </c>
      <c r="C14" s="203">
        <v>12</v>
      </c>
      <c r="D14" s="204">
        <v>0</v>
      </c>
      <c r="E14" s="205">
        <v>0</v>
      </c>
      <c r="F14" s="65">
        <f t="shared" si="0"/>
        <v>0</v>
      </c>
      <c r="G14" s="66">
        <f t="shared" si="1"/>
        <v>0</v>
      </c>
      <c r="H14" s="210">
        <v>7.43</v>
      </c>
      <c r="I14" s="205">
        <v>314.88</v>
      </c>
      <c r="J14" s="65">
        <f t="shared" si="2"/>
        <v>2339.5500000000002</v>
      </c>
      <c r="K14" s="67">
        <f t="shared" si="3"/>
        <v>2526.6999999999998</v>
      </c>
      <c r="L14" s="45"/>
    </row>
    <row r="15" spans="1:12" x14ac:dyDescent="0.3">
      <c r="A15" s="59" t="s">
        <v>44</v>
      </c>
      <c r="B15" s="60" t="s">
        <v>47</v>
      </c>
      <c r="C15" s="203">
        <v>12</v>
      </c>
      <c r="D15" s="204">
        <v>0</v>
      </c>
      <c r="E15" s="205">
        <v>0</v>
      </c>
      <c r="F15" s="65">
        <f t="shared" si="0"/>
        <v>0</v>
      </c>
      <c r="G15" s="66">
        <f t="shared" si="1"/>
        <v>0</v>
      </c>
      <c r="H15" s="210">
        <v>8.1300000000000008</v>
      </c>
      <c r="I15" s="205">
        <v>-170</v>
      </c>
      <c r="J15" s="65">
        <f t="shared" si="2"/>
        <v>-1382.1</v>
      </c>
      <c r="K15" s="67">
        <f t="shared" si="3"/>
        <v>-1492.65</v>
      </c>
      <c r="L15" s="45"/>
    </row>
    <row r="16" spans="1:12" x14ac:dyDescent="0.3">
      <c r="A16" s="59" t="s">
        <v>58</v>
      </c>
      <c r="B16" s="60" t="s">
        <v>48</v>
      </c>
      <c r="C16" s="203">
        <v>12</v>
      </c>
      <c r="D16" s="204">
        <v>0</v>
      </c>
      <c r="E16" s="205">
        <v>0</v>
      </c>
      <c r="F16" s="65">
        <f t="shared" si="0"/>
        <v>0</v>
      </c>
      <c r="G16" s="66">
        <f t="shared" si="1"/>
        <v>0</v>
      </c>
      <c r="H16" s="210">
        <v>8.41</v>
      </c>
      <c r="I16" s="205">
        <v>-156</v>
      </c>
      <c r="J16" s="65">
        <f t="shared" si="2"/>
        <v>-1311.95</v>
      </c>
      <c r="K16" s="67">
        <f t="shared" si="3"/>
        <v>-1416.9</v>
      </c>
      <c r="L16" s="45"/>
    </row>
    <row r="17" spans="1:12" x14ac:dyDescent="0.3">
      <c r="A17" s="92"/>
      <c r="B17" s="45"/>
      <c r="C17" s="45"/>
      <c r="D17" s="52"/>
      <c r="E17" s="45"/>
      <c r="F17" s="52"/>
      <c r="G17" s="93"/>
      <c r="H17" s="52"/>
      <c r="I17" s="45"/>
      <c r="J17" s="52"/>
      <c r="K17" s="94"/>
      <c r="L17" s="45"/>
    </row>
    <row r="18" spans="1:12" x14ac:dyDescent="0.3">
      <c r="A18" s="68" t="s">
        <v>49</v>
      </c>
      <c r="B18" s="69" t="s">
        <v>50</v>
      </c>
      <c r="C18" s="203">
        <v>13</v>
      </c>
      <c r="D18" s="204">
        <v>0</v>
      </c>
      <c r="E18" s="205">
        <v>377</v>
      </c>
      <c r="F18" s="70">
        <f t="shared" si="0"/>
        <v>4901</v>
      </c>
      <c r="G18" s="71">
        <f t="shared" si="1"/>
        <v>5293.08</v>
      </c>
      <c r="H18" s="211">
        <v>3.5</v>
      </c>
      <c r="I18" s="205">
        <v>1190</v>
      </c>
      <c r="J18" s="70">
        <f t="shared" si="2"/>
        <v>4165</v>
      </c>
      <c r="K18" s="72">
        <f t="shared" si="3"/>
        <v>4498.2</v>
      </c>
      <c r="L18" s="45"/>
    </row>
    <row r="19" spans="1:12" x14ac:dyDescent="0.3">
      <c r="A19" s="68" t="s">
        <v>51</v>
      </c>
      <c r="B19" s="69" t="s">
        <v>106</v>
      </c>
      <c r="C19" s="203">
        <v>4</v>
      </c>
      <c r="D19" s="204">
        <v>0</v>
      </c>
      <c r="E19" s="205">
        <v>224</v>
      </c>
      <c r="F19" s="70">
        <f t="shared" si="0"/>
        <v>896</v>
      </c>
      <c r="G19" s="71">
        <f t="shared" si="1"/>
        <v>967.68000000000006</v>
      </c>
      <c r="H19" s="210">
        <v>12.36</v>
      </c>
      <c r="I19" s="205">
        <v>212</v>
      </c>
      <c r="J19" s="70">
        <f t="shared" si="2"/>
        <v>2620.3000000000002</v>
      </c>
      <c r="K19" s="72">
        <f t="shared" si="3"/>
        <v>2829.9</v>
      </c>
      <c r="L19" s="45"/>
    </row>
    <row r="20" spans="1:12" x14ac:dyDescent="0.3">
      <c r="A20" s="68" t="s">
        <v>52</v>
      </c>
      <c r="B20" s="69" t="s">
        <v>53</v>
      </c>
      <c r="C20" s="200">
        <v>2</v>
      </c>
      <c r="D20" s="201">
        <v>0</v>
      </c>
      <c r="E20" s="202">
        <v>250</v>
      </c>
      <c r="F20" s="70">
        <f t="shared" si="0"/>
        <v>500</v>
      </c>
      <c r="G20" s="71">
        <f t="shared" si="1"/>
        <v>540</v>
      </c>
      <c r="H20" s="212">
        <v>1.4</v>
      </c>
      <c r="I20" s="213">
        <v>243</v>
      </c>
      <c r="J20" s="70">
        <f t="shared" si="2"/>
        <v>340.2</v>
      </c>
      <c r="K20" s="72">
        <f t="shared" si="3"/>
        <v>367.4</v>
      </c>
      <c r="L20" s="45"/>
    </row>
    <row r="21" spans="1:12" x14ac:dyDescent="0.3">
      <c r="A21" s="73" t="s">
        <v>54</v>
      </c>
      <c r="B21" s="74" t="s">
        <v>55</v>
      </c>
      <c r="C21" s="206">
        <v>9</v>
      </c>
      <c r="D21" s="207">
        <v>0</v>
      </c>
      <c r="E21" s="208">
        <v>490</v>
      </c>
      <c r="F21" s="75">
        <f t="shared" si="0"/>
        <v>4410</v>
      </c>
      <c r="G21" s="76">
        <f t="shared" si="1"/>
        <v>4762.8</v>
      </c>
      <c r="H21" s="214">
        <v>162</v>
      </c>
      <c r="I21" s="208">
        <v>55</v>
      </c>
      <c r="J21" s="75">
        <f t="shared" si="2"/>
        <v>8910</v>
      </c>
      <c r="K21" s="77">
        <f t="shared" si="3"/>
        <v>9622.7999999999993</v>
      </c>
      <c r="L21" s="45"/>
    </row>
    <row r="23" spans="1:12" ht="21" x14ac:dyDescent="0.35">
      <c r="A23" s="235" t="s">
        <v>64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7"/>
      <c r="L23" s="97" t="s">
        <v>26</v>
      </c>
    </row>
    <row r="24" spans="1:12" x14ac:dyDescent="0.3">
      <c r="A24" s="85" t="s">
        <v>27</v>
      </c>
      <c r="B24" s="85" t="s">
        <v>4</v>
      </c>
      <c r="C24" s="238" t="s">
        <v>28</v>
      </c>
      <c r="D24" s="238"/>
      <c r="E24" s="238"/>
      <c r="F24" s="238"/>
      <c r="G24" s="238"/>
      <c r="H24" s="238" t="s">
        <v>29</v>
      </c>
      <c r="I24" s="238"/>
      <c r="J24" s="238"/>
      <c r="K24" s="238"/>
      <c r="L24" s="46">
        <f>Incinérables!D6</f>
        <v>2470</v>
      </c>
    </row>
    <row r="25" spans="1:12" ht="33" x14ac:dyDescent="0.3">
      <c r="A25" s="47"/>
      <c r="B25" s="48"/>
      <c r="C25" s="86" t="s">
        <v>63</v>
      </c>
      <c r="D25" s="86" t="s">
        <v>62</v>
      </c>
      <c r="E25" s="86" t="s">
        <v>61</v>
      </c>
      <c r="F25" s="86" t="s">
        <v>11</v>
      </c>
      <c r="G25" s="86" t="s">
        <v>20</v>
      </c>
      <c r="H25" s="86" t="s">
        <v>30</v>
      </c>
      <c r="I25" s="86" t="s">
        <v>31</v>
      </c>
      <c r="J25" s="86" t="s">
        <v>11</v>
      </c>
      <c r="K25" s="86" t="s">
        <v>20</v>
      </c>
      <c r="L25" s="45"/>
    </row>
    <row r="26" spans="1:12" x14ac:dyDescent="0.3">
      <c r="A26" s="47"/>
      <c r="B26" s="87" t="s">
        <v>3</v>
      </c>
      <c r="C26" s="14"/>
      <c r="D26" s="88"/>
      <c r="E26" s="225">
        <v>0</v>
      </c>
      <c r="F26" s="14"/>
      <c r="G26" s="49">
        <v>0.08</v>
      </c>
      <c r="H26" s="14"/>
      <c r="I26" s="225">
        <v>0</v>
      </c>
      <c r="J26" s="14"/>
      <c r="K26" s="50">
        <v>0.08</v>
      </c>
      <c r="L26" s="45"/>
    </row>
    <row r="27" spans="1:12" x14ac:dyDescent="0.3">
      <c r="A27" s="47" t="s">
        <v>56</v>
      </c>
      <c r="B27" s="14" t="s">
        <v>33</v>
      </c>
      <c r="C27" s="222">
        <f>MROUND(((C7/$L$4)*$L$24),1)</f>
        <v>31</v>
      </c>
      <c r="D27" s="89">
        <f>D7/$L$4*$L$24</f>
        <v>0</v>
      </c>
      <c r="E27" s="90">
        <f>(E7*$E$26)+E7</f>
        <v>490</v>
      </c>
      <c r="F27" s="17">
        <f>(E27*D27)+(E27*C27)</f>
        <v>15190</v>
      </c>
      <c r="G27" s="16">
        <f>(F27*$G$6)+F27</f>
        <v>16405.2</v>
      </c>
      <c r="H27" s="91">
        <f>(H7/$L$4)*$L$24</f>
        <v>66.965128844555281</v>
      </c>
      <c r="I27" s="90">
        <f>(I7*$I$26)+I7</f>
        <v>243</v>
      </c>
      <c r="J27" s="17">
        <f>ROUND((I27*H27)*2,1)/2</f>
        <v>16272.55</v>
      </c>
      <c r="K27" s="51">
        <f>ROUND(((J27*$K$6)+J27)*2,1)/2</f>
        <v>17574.349999999999</v>
      </c>
      <c r="L27" s="45"/>
    </row>
    <row r="28" spans="1:12" x14ac:dyDescent="0.3">
      <c r="A28" s="47" t="s">
        <v>32</v>
      </c>
      <c r="B28" s="48" t="s">
        <v>35</v>
      </c>
      <c r="C28" s="222">
        <f t="shared" ref="C28:C41" si="4">MROUND(((C8/$L$4)*$L$24),1)</f>
        <v>31</v>
      </c>
      <c r="D28" s="89">
        <f t="shared" ref="D28:D41" si="5">D8/$L$4*$L$24</f>
        <v>0</v>
      </c>
      <c r="E28" s="90">
        <f t="shared" ref="E28:E41" si="6">(E8*$E$26)+E8</f>
        <v>490</v>
      </c>
      <c r="F28" s="17">
        <f t="shared" ref="F28:F36" si="7">(E28*D28)+(E28*C28)</f>
        <v>15190</v>
      </c>
      <c r="G28" s="16">
        <f t="shared" ref="G28:G41" si="8">(F28*$G$6)+F28</f>
        <v>16405.2</v>
      </c>
      <c r="H28" s="91">
        <f t="shared" ref="H28:H41" si="9">(H8/$L$4)*$L$24</f>
        <v>119.31147132169576</v>
      </c>
      <c r="I28" s="90">
        <f t="shared" ref="I28:I36" si="10">(I8*$I$26)+I8</f>
        <v>115</v>
      </c>
      <c r="J28" s="17">
        <f t="shared" ref="J28:J36" si="11">ROUND((I28*H28)*2,1)/2</f>
        <v>13720.8</v>
      </c>
      <c r="K28" s="51">
        <f t="shared" ref="K28:K41" si="12">ROUND(((J28*$K$6)+J28)*2,1)/2</f>
        <v>14818.45</v>
      </c>
      <c r="L28" s="45"/>
    </row>
    <row r="29" spans="1:12" x14ac:dyDescent="0.3">
      <c r="A29" s="47" t="s">
        <v>34</v>
      </c>
      <c r="B29" s="48" t="s">
        <v>37</v>
      </c>
      <c r="C29" s="222">
        <f t="shared" si="4"/>
        <v>24</v>
      </c>
      <c r="D29" s="89">
        <f t="shared" si="5"/>
        <v>0</v>
      </c>
      <c r="E29" s="90">
        <f t="shared" si="6"/>
        <v>490</v>
      </c>
      <c r="F29" s="17">
        <f t="shared" si="7"/>
        <v>11760</v>
      </c>
      <c r="G29" s="16">
        <f t="shared" si="8"/>
        <v>12700.8</v>
      </c>
      <c r="H29" s="91">
        <f t="shared" si="9"/>
        <v>110.17472984206151</v>
      </c>
      <c r="I29" s="90">
        <f t="shared" si="10"/>
        <v>100</v>
      </c>
      <c r="J29" s="17">
        <f t="shared" si="11"/>
        <v>11017.45</v>
      </c>
      <c r="K29" s="51">
        <f t="shared" si="12"/>
        <v>11898.85</v>
      </c>
      <c r="L29" s="45"/>
    </row>
    <row r="30" spans="1:12" x14ac:dyDescent="0.3">
      <c r="A30" s="47" t="s">
        <v>36</v>
      </c>
      <c r="B30" s="48" t="s">
        <v>39</v>
      </c>
      <c r="C30" s="222">
        <f t="shared" si="4"/>
        <v>11</v>
      </c>
      <c r="D30" s="89">
        <f t="shared" si="5"/>
        <v>0</v>
      </c>
      <c r="E30" s="90">
        <f t="shared" si="6"/>
        <v>490</v>
      </c>
      <c r="F30" s="17">
        <f t="shared" si="7"/>
        <v>5390</v>
      </c>
      <c r="G30" s="16">
        <f t="shared" si="8"/>
        <v>5821.2</v>
      </c>
      <c r="H30" s="91">
        <f t="shared" si="9"/>
        <v>49.266541978387373</v>
      </c>
      <c r="I30" s="90">
        <f t="shared" si="10"/>
        <v>-35</v>
      </c>
      <c r="J30" s="17">
        <f t="shared" si="11"/>
        <v>-1724.35</v>
      </c>
      <c r="K30" s="51">
        <f t="shared" si="12"/>
        <v>-1862.3</v>
      </c>
      <c r="L30" s="45"/>
    </row>
    <row r="31" spans="1:12" x14ac:dyDescent="0.3">
      <c r="A31" s="47" t="s">
        <v>57</v>
      </c>
      <c r="B31" s="48" t="s">
        <v>41</v>
      </c>
      <c r="C31" s="222">
        <f t="shared" si="4"/>
        <v>41</v>
      </c>
      <c r="D31" s="89">
        <f t="shared" si="5"/>
        <v>0</v>
      </c>
      <c r="E31" s="90">
        <f t="shared" si="6"/>
        <v>490</v>
      </c>
      <c r="F31" s="17">
        <f t="shared" si="7"/>
        <v>20090</v>
      </c>
      <c r="G31" s="16">
        <f t="shared" si="8"/>
        <v>21697.200000000001</v>
      </c>
      <c r="H31" s="91">
        <f t="shared" si="9"/>
        <v>169.55328345802161</v>
      </c>
      <c r="I31" s="90">
        <f t="shared" si="10"/>
        <v>-30</v>
      </c>
      <c r="J31" s="17">
        <f t="shared" si="11"/>
        <v>-5086.6000000000004</v>
      </c>
      <c r="K31" s="51">
        <f t="shared" si="12"/>
        <v>-5493.55</v>
      </c>
      <c r="L31" s="45"/>
    </row>
    <row r="32" spans="1:12" x14ac:dyDescent="0.3">
      <c r="A32" s="47" t="s">
        <v>38</v>
      </c>
      <c r="B32" s="48" t="s">
        <v>43</v>
      </c>
      <c r="C32" s="222">
        <f t="shared" si="4"/>
        <v>25</v>
      </c>
      <c r="D32" s="89">
        <f t="shared" si="5"/>
        <v>0</v>
      </c>
      <c r="E32" s="90">
        <f t="shared" si="6"/>
        <v>490</v>
      </c>
      <c r="F32" s="17">
        <f t="shared" si="7"/>
        <v>12250</v>
      </c>
      <c r="G32" s="16">
        <f t="shared" si="8"/>
        <v>13230</v>
      </c>
      <c r="H32" s="91">
        <f t="shared" si="9"/>
        <v>114.1168744804655</v>
      </c>
      <c r="I32" s="90">
        <f t="shared" si="10"/>
        <v>-86.5</v>
      </c>
      <c r="J32" s="17">
        <f t="shared" si="11"/>
        <v>-9871.1</v>
      </c>
      <c r="K32" s="51">
        <f t="shared" si="12"/>
        <v>-10660.8</v>
      </c>
      <c r="L32" s="45"/>
    </row>
    <row r="33" spans="1:13" x14ac:dyDescent="0.3">
      <c r="A33" s="47" t="s">
        <v>40</v>
      </c>
      <c r="B33" s="48" t="s">
        <v>45</v>
      </c>
      <c r="C33" s="222">
        <f t="shared" si="4"/>
        <v>12</v>
      </c>
      <c r="D33" s="89">
        <f t="shared" si="5"/>
        <v>0</v>
      </c>
      <c r="E33" s="90">
        <f t="shared" si="6"/>
        <v>95</v>
      </c>
      <c r="F33" s="17">
        <f t="shared" si="7"/>
        <v>1140</v>
      </c>
      <c r="G33" s="16">
        <f t="shared" si="8"/>
        <v>1231.2</v>
      </c>
      <c r="H33" s="91">
        <f t="shared" si="9"/>
        <v>44.718703241895263</v>
      </c>
      <c r="I33" s="90">
        <f t="shared" si="10"/>
        <v>200</v>
      </c>
      <c r="J33" s="17">
        <f t="shared" si="11"/>
        <v>8943.75</v>
      </c>
      <c r="K33" s="51">
        <f t="shared" si="12"/>
        <v>9659.25</v>
      </c>
      <c r="L33" s="45"/>
    </row>
    <row r="34" spans="1:13" x14ac:dyDescent="0.3">
      <c r="A34" s="47" t="s">
        <v>42</v>
      </c>
      <c r="B34" s="48" t="s">
        <v>46</v>
      </c>
      <c r="C34" s="222">
        <f t="shared" si="4"/>
        <v>12</v>
      </c>
      <c r="D34" s="89">
        <f t="shared" si="5"/>
        <v>0</v>
      </c>
      <c r="E34" s="90">
        <f t="shared" si="6"/>
        <v>0</v>
      </c>
      <c r="F34" s="17">
        <f t="shared" si="7"/>
        <v>0</v>
      </c>
      <c r="G34" s="16">
        <f t="shared" si="8"/>
        <v>0</v>
      </c>
      <c r="H34" s="91">
        <f t="shared" si="9"/>
        <v>7.62763923524522</v>
      </c>
      <c r="I34" s="90">
        <f t="shared" si="10"/>
        <v>314.88</v>
      </c>
      <c r="J34" s="17">
        <f t="shared" si="11"/>
        <v>2401.8000000000002</v>
      </c>
      <c r="K34" s="51">
        <f t="shared" si="12"/>
        <v>2593.9499999999998</v>
      </c>
      <c r="L34" s="45"/>
    </row>
    <row r="35" spans="1:13" x14ac:dyDescent="0.3">
      <c r="A35" s="47" t="s">
        <v>44</v>
      </c>
      <c r="B35" s="48" t="s">
        <v>47</v>
      </c>
      <c r="C35" s="222">
        <f t="shared" si="4"/>
        <v>12</v>
      </c>
      <c r="D35" s="89">
        <f t="shared" si="5"/>
        <v>0</v>
      </c>
      <c r="E35" s="90">
        <f t="shared" si="6"/>
        <v>0</v>
      </c>
      <c r="F35" s="17">
        <f t="shared" si="7"/>
        <v>0</v>
      </c>
      <c r="G35" s="16">
        <f t="shared" si="8"/>
        <v>0</v>
      </c>
      <c r="H35" s="91">
        <f t="shared" si="9"/>
        <v>8.3462593516209473</v>
      </c>
      <c r="I35" s="90">
        <f t="shared" si="10"/>
        <v>-170</v>
      </c>
      <c r="J35" s="17">
        <f t="shared" si="11"/>
        <v>-1418.85</v>
      </c>
      <c r="K35" s="51">
        <f t="shared" si="12"/>
        <v>-1532.35</v>
      </c>
      <c r="L35" s="45"/>
    </row>
    <row r="36" spans="1:13" x14ac:dyDescent="0.3">
      <c r="A36" s="47" t="s">
        <v>58</v>
      </c>
      <c r="B36" s="48" t="s">
        <v>48</v>
      </c>
      <c r="C36" s="222">
        <f t="shared" si="4"/>
        <v>12</v>
      </c>
      <c r="D36" s="89">
        <f t="shared" si="5"/>
        <v>0</v>
      </c>
      <c r="E36" s="90">
        <f t="shared" si="6"/>
        <v>0</v>
      </c>
      <c r="F36" s="17">
        <f t="shared" si="7"/>
        <v>0</v>
      </c>
      <c r="G36" s="16">
        <f t="shared" si="8"/>
        <v>0</v>
      </c>
      <c r="H36" s="91">
        <f t="shared" si="9"/>
        <v>8.6337073981712393</v>
      </c>
      <c r="I36" s="90">
        <f t="shared" si="10"/>
        <v>-156</v>
      </c>
      <c r="J36" s="17">
        <f t="shared" si="11"/>
        <v>-1346.85</v>
      </c>
      <c r="K36" s="51">
        <f t="shared" si="12"/>
        <v>-1454.6</v>
      </c>
      <c r="L36" s="45"/>
    </row>
    <row r="37" spans="1:13" x14ac:dyDescent="0.3">
      <c r="A37" s="92"/>
      <c r="B37" s="45"/>
      <c r="C37" s="98"/>
      <c r="D37" s="95"/>
      <c r="E37" s="96"/>
      <c r="F37" s="52"/>
      <c r="G37" s="93"/>
      <c r="H37" s="53"/>
      <c r="I37" s="96"/>
      <c r="J37" s="52"/>
      <c r="K37" s="94"/>
      <c r="L37" s="45"/>
    </row>
    <row r="38" spans="1:13" x14ac:dyDescent="0.3">
      <c r="A38" s="68" t="s">
        <v>49</v>
      </c>
      <c r="B38" s="69" t="s">
        <v>50</v>
      </c>
      <c r="C38" s="223">
        <f t="shared" si="4"/>
        <v>13</v>
      </c>
      <c r="D38" s="80">
        <f t="shared" si="5"/>
        <v>0</v>
      </c>
      <c r="E38" s="81">
        <f t="shared" si="6"/>
        <v>377</v>
      </c>
      <c r="F38" s="70">
        <f t="shared" ref="F38:F41" si="13">(E38*D38)+(E38*C38)</f>
        <v>4901</v>
      </c>
      <c r="G38" s="71">
        <f t="shared" si="8"/>
        <v>5293.08</v>
      </c>
      <c r="H38" s="78">
        <f t="shared" si="9"/>
        <v>3.593100581878637</v>
      </c>
      <c r="I38" s="81">
        <f t="shared" ref="I38:I41" si="14">(I18*$I$26)+I18</f>
        <v>1190</v>
      </c>
      <c r="J38" s="70">
        <f t="shared" ref="J38:J41" si="15">ROUND((I38*H38)*2,1)/2</f>
        <v>4275.8</v>
      </c>
      <c r="K38" s="72">
        <f t="shared" si="12"/>
        <v>4617.8500000000004</v>
      </c>
      <c r="L38" s="45"/>
    </row>
    <row r="39" spans="1:13" x14ac:dyDescent="0.3">
      <c r="A39" s="68" t="s">
        <v>51</v>
      </c>
      <c r="B39" s="69" t="s">
        <v>106</v>
      </c>
      <c r="C39" s="223">
        <f t="shared" si="4"/>
        <v>4</v>
      </c>
      <c r="D39" s="80">
        <f t="shared" si="5"/>
        <v>0</v>
      </c>
      <c r="E39" s="81">
        <f t="shared" si="6"/>
        <v>224</v>
      </c>
      <c r="F39" s="70">
        <f t="shared" si="13"/>
        <v>896</v>
      </c>
      <c r="G39" s="71">
        <f t="shared" si="8"/>
        <v>967.68000000000006</v>
      </c>
      <c r="H39" s="78">
        <f t="shared" si="9"/>
        <v>12.688778054862842</v>
      </c>
      <c r="I39" s="81">
        <f t="shared" si="14"/>
        <v>212</v>
      </c>
      <c r="J39" s="70">
        <f t="shared" si="15"/>
        <v>2690</v>
      </c>
      <c r="K39" s="72">
        <f t="shared" si="12"/>
        <v>2905.2</v>
      </c>
      <c r="L39" s="45"/>
    </row>
    <row r="40" spans="1:13" x14ac:dyDescent="0.3">
      <c r="A40" s="68" t="s">
        <v>52</v>
      </c>
      <c r="B40" s="69" t="s">
        <v>53</v>
      </c>
      <c r="C40" s="223">
        <f t="shared" si="4"/>
        <v>2</v>
      </c>
      <c r="D40" s="80">
        <f t="shared" si="5"/>
        <v>0</v>
      </c>
      <c r="E40" s="81">
        <f t="shared" si="6"/>
        <v>250</v>
      </c>
      <c r="F40" s="70">
        <f t="shared" si="13"/>
        <v>500</v>
      </c>
      <c r="G40" s="71">
        <f t="shared" si="8"/>
        <v>540</v>
      </c>
      <c r="H40" s="78">
        <f t="shared" si="9"/>
        <v>1.4372402327514546</v>
      </c>
      <c r="I40" s="81">
        <f t="shared" si="14"/>
        <v>243</v>
      </c>
      <c r="J40" s="70">
        <f t="shared" si="15"/>
        <v>349.25</v>
      </c>
      <c r="K40" s="72">
        <f t="shared" si="12"/>
        <v>377.2</v>
      </c>
      <c r="L40" s="45"/>
    </row>
    <row r="41" spans="1:13" x14ac:dyDescent="0.3">
      <c r="A41" s="73" t="s">
        <v>54</v>
      </c>
      <c r="B41" s="74" t="s">
        <v>55</v>
      </c>
      <c r="C41" s="224">
        <f t="shared" si="4"/>
        <v>9</v>
      </c>
      <c r="D41" s="82">
        <f t="shared" si="5"/>
        <v>0</v>
      </c>
      <c r="E41" s="83">
        <f t="shared" si="6"/>
        <v>490</v>
      </c>
      <c r="F41" s="75">
        <f t="shared" si="13"/>
        <v>4410</v>
      </c>
      <c r="G41" s="76">
        <f t="shared" si="8"/>
        <v>4762.8</v>
      </c>
      <c r="H41" s="79">
        <f t="shared" si="9"/>
        <v>166.30922693266831</v>
      </c>
      <c r="I41" s="83">
        <f t="shared" si="14"/>
        <v>55</v>
      </c>
      <c r="J41" s="75">
        <f t="shared" si="15"/>
        <v>9147</v>
      </c>
      <c r="K41" s="77">
        <f t="shared" si="12"/>
        <v>9878.75</v>
      </c>
      <c r="L41" s="45"/>
    </row>
    <row r="43" spans="1:13" x14ac:dyDescent="0.3">
      <c r="C43" s="199"/>
      <c r="D43" s="41" t="s">
        <v>102</v>
      </c>
      <c r="E43" s="6"/>
      <c r="F43" s="6"/>
      <c r="G43" s="6"/>
      <c r="H43" s="189" t="s">
        <v>107</v>
      </c>
      <c r="J43" s="190">
        <f>J36+J35+J32+J31+J30</f>
        <v>-19447.75</v>
      </c>
      <c r="M43" s="6"/>
    </row>
    <row r="44" spans="1:13" x14ac:dyDescent="0.3">
      <c r="F44" s="6"/>
      <c r="G44" s="6"/>
    </row>
    <row r="45" spans="1:13" x14ac:dyDescent="0.3">
      <c r="B45" s="54"/>
      <c r="E45" s="55"/>
      <c r="F45" s="6"/>
      <c r="G45" s="6"/>
    </row>
    <row r="46" spans="1:13" x14ac:dyDescent="0.3">
      <c r="E46" s="6"/>
      <c r="F46" s="6"/>
      <c r="G46" s="6"/>
    </row>
    <row r="47" spans="1:13" x14ac:dyDescent="0.3">
      <c r="E47" s="6"/>
      <c r="F47" s="6"/>
      <c r="G47" s="6"/>
    </row>
    <row r="48" spans="1:13" x14ac:dyDescent="0.3">
      <c r="E48" s="6"/>
      <c r="F48" s="6"/>
      <c r="G48" s="6"/>
    </row>
    <row r="49" spans="5:7" x14ac:dyDescent="0.3">
      <c r="E49" s="6"/>
      <c r="F49" s="6"/>
      <c r="G49" s="6"/>
    </row>
    <row r="50" spans="5:7" x14ac:dyDescent="0.3">
      <c r="E50" s="6"/>
      <c r="F50" s="6"/>
      <c r="G50" s="6"/>
    </row>
    <row r="51" spans="5:7" x14ac:dyDescent="0.3">
      <c r="E51" s="6"/>
      <c r="F51" s="6"/>
      <c r="G51" s="6"/>
    </row>
    <row r="52" spans="5:7" x14ac:dyDescent="0.3">
      <c r="E52" s="6"/>
      <c r="F52" s="6"/>
      <c r="G52" s="6"/>
    </row>
    <row r="53" spans="5:7" x14ac:dyDescent="0.3">
      <c r="E53" s="6"/>
      <c r="F53" s="6"/>
      <c r="G53" s="6"/>
    </row>
    <row r="54" spans="5:7" x14ac:dyDescent="0.3">
      <c r="E54" s="6"/>
      <c r="F54" s="6"/>
      <c r="G54" s="6"/>
    </row>
    <row r="55" spans="5:7" x14ac:dyDescent="0.3">
      <c r="E55" s="6"/>
      <c r="F55" s="6"/>
      <c r="G55" s="6"/>
    </row>
  </sheetData>
  <mergeCells count="7">
    <mergeCell ref="A23:K23"/>
    <mergeCell ref="C24:G24"/>
    <mergeCell ref="H24:K24"/>
    <mergeCell ref="A1:L1"/>
    <mergeCell ref="C4:G4"/>
    <mergeCell ref="H4:K4"/>
    <mergeCell ref="A3:K3"/>
  </mergeCells>
  <printOptions horizontalCentered="1"/>
  <pageMargins left="0" right="0" top="0.15748031496062992" bottom="0.15748031496062992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>
      <selection activeCell="C19" sqref="C19"/>
    </sheetView>
  </sheetViews>
  <sheetFormatPr baseColWidth="10" defaultRowHeight="16.5" x14ac:dyDescent="0.3"/>
  <cols>
    <col min="1" max="1" width="11.5546875" style="1"/>
    <col min="2" max="2" width="31.44140625" style="1" customWidth="1"/>
    <col min="3" max="5" width="11.5546875" style="1"/>
    <col min="6" max="6" width="32.6640625" style="1" bestFit="1" customWidth="1"/>
    <col min="7" max="7" width="11.5546875" style="1"/>
    <col min="8" max="8" width="36.6640625" style="1" customWidth="1"/>
    <col min="9" max="16384" width="11.5546875" style="1"/>
  </cols>
  <sheetData>
    <row r="1" spans="1:11" ht="21" x14ac:dyDescent="0.35">
      <c r="A1" s="244" t="s">
        <v>65</v>
      </c>
      <c r="B1" s="244"/>
      <c r="C1" s="244"/>
      <c r="D1" s="244"/>
      <c r="E1" s="244"/>
      <c r="F1" s="244"/>
    </row>
    <row r="2" spans="1:11" ht="21" x14ac:dyDescent="0.35">
      <c r="A2" s="245" t="s">
        <v>66</v>
      </c>
      <c r="B2" s="245"/>
      <c r="C2" s="245"/>
      <c r="D2" s="245"/>
      <c r="E2" s="245"/>
      <c r="F2" s="245"/>
    </row>
    <row r="4" spans="1:11" x14ac:dyDescent="0.3">
      <c r="A4" s="4" t="s">
        <v>67</v>
      </c>
      <c r="B4" s="4" t="s">
        <v>68</v>
      </c>
      <c r="C4" s="4" t="s">
        <v>69</v>
      </c>
      <c r="D4" s="4" t="s">
        <v>70</v>
      </c>
      <c r="E4" s="4" t="s">
        <v>71</v>
      </c>
      <c r="F4" s="4" t="s">
        <v>101</v>
      </c>
    </row>
    <row r="6" spans="1:11" x14ac:dyDescent="0.3">
      <c r="B6" s="42" t="s">
        <v>72</v>
      </c>
      <c r="C6" s="34">
        <f>C9+C26+C71</f>
        <v>443129.44999999995</v>
      </c>
      <c r="D6" s="34">
        <f>D9+D26+D71</f>
        <v>-415960.4</v>
      </c>
      <c r="E6" s="34">
        <f>C6+D6</f>
        <v>27169.04999999993</v>
      </c>
    </row>
    <row r="7" spans="1:11" ht="10.5" customHeight="1" x14ac:dyDescent="0.3"/>
    <row r="8" spans="1:11" ht="16.5" customHeight="1" x14ac:dyDescent="0.3">
      <c r="B8" s="41" t="s">
        <v>237</v>
      </c>
      <c r="C8" s="39">
        <f>C9+C26</f>
        <v>415960.39999999997</v>
      </c>
      <c r="D8" s="39">
        <f>D9+D26</f>
        <v>-415960.4</v>
      </c>
      <c r="E8" s="39">
        <f>E9+E26</f>
        <v>-8.7311491370201111E-11</v>
      </c>
      <c r="F8" s="41" t="s">
        <v>238</v>
      </c>
    </row>
    <row r="9" spans="1:11" x14ac:dyDescent="0.3">
      <c r="B9" s="42" t="s">
        <v>73</v>
      </c>
      <c r="C9" s="34">
        <f>SUM(C10:C24)</f>
        <v>146629.04999999999</v>
      </c>
      <c r="D9" s="34">
        <f>SUM(D10:D24)</f>
        <v>-126246.85</v>
      </c>
      <c r="E9" s="34">
        <f>C9+D9</f>
        <v>20382.199999999983</v>
      </c>
    </row>
    <row r="10" spans="1:11" x14ac:dyDescent="0.3">
      <c r="A10" s="99" t="s">
        <v>74</v>
      </c>
      <c r="B10" s="99" t="s">
        <v>85</v>
      </c>
      <c r="C10" s="101">
        <v>8300</v>
      </c>
      <c r="D10" s="100"/>
      <c r="E10" s="100"/>
      <c r="F10" s="221" t="s">
        <v>104</v>
      </c>
      <c r="H10" s="246" t="s">
        <v>190</v>
      </c>
      <c r="I10" s="247"/>
      <c r="J10" s="248"/>
    </row>
    <row r="11" spans="1:11" x14ac:dyDescent="0.3">
      <c r="A11" s="99" t="s">
        <v>75</v>
      </c>
      <c r="B11" s="99" t="s">
        <v>86</v>
      </c>
      <c r="C11" s="101">
        <v>730</v>
      </c>
      <c r="D11" s="100"/>
      <c r="E11" s="100"/>
      <c r="F11" s="221" t="s">
        <v>104</v>
      </c>
      <c r="H11" s="116"/>
      <c r="I11" s="4" t="s">
        <v>197</v>
      </c>
      <c r="J11" s="4" t="s">
        <v>198</v>
      </c>
    </row>
    <row r="12" spans="1:11" x14ac:dyDescent="0.3">
      <c r="A12" s="99" t="s">
        <v>76</v>
      </c>
      <c r="B12" s="99" t="s">
        <v>87</v>
      </c>
      <c r="C12" s="101">
        <v>1305</v>
      </c>
      <c r="D12" s="100"/>
      <c r="E12" s="100"/>
      <c r="F12" s="221" t="s">
        <v>104</v>
      </c>
      <c r="H12" s="117"/>
      <c r="I12" s="84"/>
      <c r="J12" s="118">
        <v>0.08</v>
      </c>
      <c r="K12" s="9"/>
    </row>
    <row r="13" spans="1:11" x14ac:dyDescent="0.3">
      <c r="A13" s="99" t="s">
        <v>77</v>
      </c>
      <c r="B13" s="99" t="s">
        <v>88</v>
      </c>
      <c r="C13" s="101">
        <v>510</v>
      </c>
      <c r="D13" s="100"/>
      <c r="E13" s="100"/>
      <c r="F13" s="221" t="s">
        <v>104</v>
      </c>
      <c r="H13" s="119" t="s">
        <v>199</v>
      </c>
      <c r="I13" s="7">
        <f>C19</f>
        <v>48318.400000000001</v>
      </c>
      <c r="J13" s="120">
        <f>ROUND(((I13*$J$12)+I13)*2,1)/2</f>
        <v>52183.85</v>
      </c>
    </row>
    <row r="14" spans="1:11" x14ac:dyDescent="0.3">
      <c r="A14" s="99" t="s">
        <v>78</v>
      </c>
      <c r="B14" s="99" t="s">
        <v>89</v>
      </c>
      <c r="C14" s="101">
        <v>100</v>
      </c>
      <c r="D14" s="100"/>
      <c r="E14" s="100"/>
      <c r="F14" s="221" t="s">
        <v>102</v>
      </c>
      <c r="H14" s="119" t="s">
        <v>200</v>
      </c>
      <c r="I14" s="7">
        <f>C20</f>
        <v>64865.65</v>
      </c>
      <c r="J14" s="120">
        <f t="shared" ref="J14:J20" si="0">ROUND(((I14*$J$12)+I14)*2,1)/2</f>
        <v>70054.899999999994</v>
      </c>
    </row>
    <row r="15" spans="1:11" x14ac:dyDescent="0.3">
      <c r="A15" s="99" t="s">
        <v>79</v>
      </c>
      <c r="B15" s="99" t="s">
        <v>90</v>
      </c>
      <c r="C15" s="102">
        <v>3000</v>
      </c>
      <c r="D15" s="100"/>
      <c r="E15" s="100"/>
      <c r="F15" s="221" t="s">
        <v>102</v>
      </c>
      <c r="H15" s="121" t="s">
        <v>191</v>
      </c>
      <c r="I15" s="7">
        <f>SUM(C38:C57)</f>
        <v>133366.35</v>
      </c>
      <c r="J15" s="120">
        <f t="shared" si="0"/>
        <v>144035.65</v>
      </c>
    </row>
    <row r="16" spans="1:11" x14ac:dyDescent="0.3">
      <c r="A16" s="99" t="s">
        <v>95</v>
      </c>
      <c r="B16" s="99" t="s">
        <v>91</v>
      </c>
      <c r="C16" s="102">
        <v>3000</v>
      </c>
      <c r="D16" s="100"/>
      <c r="E16" s="100"/>
      <c r="F16" s="221" t="s">
        <v>102</v>
      </c>
      <c r="H16" s="122" t="s">
        <v>192</v>
      </c>
      <c r="I16" s="7">
        <f>SUM(C15:C18)+C21</f>
        <v>22500</v>
      </c>
      <c r="J16" s="120">
        <f t="shared" si="0"/>
        <v>24300</v>
      </c>
    </row>
    <row r="17" spans="1:10" x14ac:dyDescent="0.3">
      <c r="A17" s="99" t="s">
        <v>80</v>
      </c>
      <c r="B17" s="99" t="s">
        <v>92</v>
      </c>
      <c r="C17" s="102">
        <v>5000</v>
      </c>
      <c r="D17" s="100"/>
      <c r="E17" s="100"/>
      <c r="F17" s="221" t="s">
        <v>102</v>
      </c>
      <c r="H17" s="123" t="s">
        <v>193</v>
      </c>
      <c r="I17" s="7">
        <f>SUM(C32:C37,C58:C61)</f>
        <v>55400</v>
      </c>
      <c r="J17" s="120">
        <f t="shared" si="0"/>
        <v>59832</v>
      </c>
    </row>
    <row r="18" spans="1:10" x14ac:dyDescent="0.3">
      <c r="A18" s="99" t="s">
        <v>81</v>
      </c>
      <c r="B18" s="99" t="s">
        <v>93</v>
      </c>
      <c r="C18" s="102">
        <v>1500</v>
      </c>
      <c r="D18" s="100"/>
      <c r="E18" s="100"/>
      <c r="F18" s="221" t="s">
        <v>102</v>
      </c>
      <c r="H18" s="124" t="s">
        <v>194</v>
      </c>
      <c r="I18" s="7">
        <f>SUM(C10:C14,C27:C31)</f>
        <v>91510</v>
      </c>
      <c r="J18" s="120">
        <f>I18</f>
        <v>91510</v>
      </c>
    </row>
    <row r="19" spans="1:10" x14ac:dyDescent="0.3">
      <c r="A19" s="99" t="s">
        <v>82</v>
      </c>
      <c r="B19" s="99" t="s">
        <v>94</v>
      </c>
      <c r="C19" s="103">
        <f>Incinérables!E18+Incinérables!J18</f>
        <v>48318.400000000001</v>
      </c>
      <c r="D19" s="100"/>
      <c r="E19" s="100"/>
      <c r="F19" s="107" t="s">
        <v>103</v>
      </c>
      <c r="H19" s="125" t="s">
        <v>195</v>
      </c>
      <c r="I19" s="7">
        <f>SUM(C72:C75)</f>
        <v>27169.05</v>
      </c>
      <c r="J19" s="120">
        <f t="shared" si="0"/>
        <v>29342.55</v>
      </c>
    </row>
    <row r="20" spans="1:10" x14ac:dyDescent="0.3">
      <c r="A20" s="99" t="s">
        <v>96</v>
      </c>
      <c r="B20" s="99" t="s">
        <v>97</v>
      </c>
      <c r="C20" s="103">
        <f>Incinérables!E20</f>
        <v>64865.65</v>
      </c>
      <c r="D20" s="100"/>
      <c r="E20" s="100"/>
      <c r="F20" s="107" t="s">
        <v>103</v>
      </c>
      <c r="H20" s="126" t="s">
        <v>196</v>
      </c>
      <c r="I20" s="7">
        <f>D22+D23+D66+D67+D68+D69+D76</f>
        <v>-24447.75</v>
      </c>
      <c r="J20" s="120">
        <f t="shared" si="0"/>
        <v>-26403.55</v>
      </c>
    </row>
    <row r="21" spans="1:10" x14ac:dyDescent="0.3">
      <c r="A21" s="99" t="s">
        <v>227</v>
      </c>
      <c r="B21" s="99" t="s">
        <v>228</v>
      </c>
      <c r="C21" s="102">
        <v>10000</v>
      </c>
      <c r="D21" s="100"/>
      <c r="E21" s="100"/>
      <c r="F21" s="221" t="s">
        <v>102</v>
      </c>
      <c r="H21" s="127"/>
      <c r="I21" s="84"/>
      <c r="J21" s="128"/>
    </row>
    <row r="22" spans="1:10" x14ac:dyDescent="0.3">
      <c r="A22" s="99" t="s">
        <v>83</v>
      </c>
      <c r="B22" s="99" t="s">
        <v>99</v>
      </c>
      <c r="C22" s="100"/>
      <c r="D22" s="112">
        <v>-3000</v>
      </c>
      <c r="E22" s="100"/>
      <c r="F22" s="221" t="s">
        <v>102</v>
      </c>
      <c r="H22" s="129" t="s">
        <v>201</v>
      </c>
      <c r="I22" s="130">
        <f>SUM(I13:I20)</f>
        <v>418681.7</v>
      </c>
      <c r="J22" s="131">
        <f>SUM(J13:J20)</f>
        <v>444855.4</v>
      </c>
    </row>
    <row r="23" spans="1:10" x14ac:dyDescent="0.3">
      <c r="A23" s="99" t="s">
        <v>84</v>
      </c>
      <c r="B23" s="99" t="s">
        <v>100</v>
      </c>
      <c r="C23" s="100"/>
      <c r="D23" s="112">
        <v>-1000</v>
      </c>
      <c r="E23" s="100"/>
      <c r="F23" s="221" t="s">
        <v>102</v>
      </c>
    </row>
    <row r="24" spans="1:10" ht="16.5" customHeight="1" x14ac:dyDescent="0.3">
      <c r="A24" s="99" t="s">
        <v>98</v>
      </c>
      <c r="B24" s="99" t="s">
        <v>16</v>
      </c>
      <c r="C24" s="100"/>
      <c r="D24" s="100">
        <f>Incinérables!J22</f>
        <v>-122246.85</v>
      </c>
      <c r="E24" s="100"/>
      <c r="F24" s="107" t="s">
        <v>103</v>
      </c>
    </row>
    <row r="25" spans="1:10" x14ac:dyDescent="0.3">
      <c r="A25" s="84"/>
      <c r="F25" s="108"/>
    </row>
    <row r="26" spans="1:10" x14ac:dyDescent="0.3">
      <c r="A26" s="84"/>
      <c r="B26" s="42" t="s">
        <v>108</v>
      </c>
      <c r="C26" s="34">
        <f>SUM(C27:C69)</f>
        <v>269331.34999999998</v>
      </c>
      <c r="D26" s="34">
        <f>SUM(D27:D69)</f>
        <v>-289713.55000000005</v>
      </c>
      <c r="E26" s="34">
        <f>C26+D26</f>
        <v>-20382.20000000007</v>
      </c>
      <c r="F26" s="108"/>
    </row>
    <row r="27" spans="1:10" x14ac:dyDescent="0.3">
      <c r="A27" s="99" t="s">
        <v>109</v>
      </c>
      <c r="B27" s="99" t="s">
        <v>130</v>
      </c>
      <c r="C27" s="101">
        <v>61640</v>
      </c>
      <c r="D27" s="100"/>
      <c r="E27" s="100"/>
      <c r="F27" s="221" t="s">
        <v>104</v>
      </c>
    </row>
    <row r="28" spans="1:10" x14ac:dyDescent="0.3">
      <c r="A28" s="99" t="s">
        <v>110</v>
      </c>
      <c r="B28" s="99" t="s">
        <v>131</v>
      </c>
      <c r="C28" s="101">
        <v>5440</v>
      </c>
      <c r="D28" s="100"/>
      <c r="E28" s="100"/>
      <c r="F28" s="221" t="s">
        <v>104</v>
      </c>
    </row>
    <row r="29" spans="1:10" x14ac:dyDescent="0.3">
      <c r="A29" s="99" t="s">
        <v>111</v>
      </c>
      <c r="B29" s="99" t="s">
        <v>87</v>
      </c>
      <c r="C29" s="101">
        <v>9435</v>
      </c>
      <c r="D29" s="100"/>
      <c r="E29" s="100"/>
      <c r="F29" s="221" t="s">
        <v>104</v>
      </c>
    </row>
    <row r="30" spans="1:10" x14ac:dyDescent="0.3">
      <c r="A30" s="99" t="s">
        <v>112</v>
      </c>
      <c r="B30" s="99" t="s">
        <v>132</v>
      </c>
      <c r="C30" s="101">
        <v>3750</v>
      </c>
      <c r="D30" s="100"/>
      <c r="E30" s="100"/>
      <c r="F30" s="221" t="s">
        <v>104</v>
      </c>
    </row>
    <row r="31" spans="1:10" x14ac:dyDescent="0.3">
      <c r="A31" s="99" t="s">
        <v>113</v>
      </c>
      <c r="B31" s="99" t="s">
        <v>133</v>
      </c>
      <c r="C31" s="101">
        <v>300</v>
      </c>
      <c r="D31" s="100"/>
      <c r="E31" s="100"/>
      <c r="F31" s="221" t="s">
        <v>102</v>
      </c>
    </row>
    <row r="32" spans="1:10" x14ac:dyDescent="0.3">
      <c r="A32" s="99" t="s">
        <v>114</v>
      </c>
      <c r="B32" s="99" t="s">
        <v>90</v>
      </c>
      <c r="C32" s="104">
        <v>5000</v>
      </c>
      <c r="D32" s="100"/>
      <c r="E32" s="100"/>
      <c r="F32" s="221" t="s">
        <v>102</v>
      </c>
    </row>
    <row r="33" spans="1:6" x14ac:dyDescent="0.3">
      <c r="A33" s="99" t="s">
        <v>115</v>
      </c>
      <c r="B33" s="99" t="s">
        <v>134</v>
      </c>
      <c r="C33" s="104">
        <v>3000</v>
      </c>
      <c r="D33" s="100"/>
      <c r="E33" s="100"/>
      <c r="F33" s="221" t="s">
        <v>102</v>
      </c>
    </row>
    <row r="34" spans="1:6" x14ac:dyDescent="0.3">
      <c r="A34" s="99" t="s">
        <v>116</v>
      </c>
      <c r="B34" s="99" t="s">
        <v>135</v>
      </c>
      <c r="C34" s="104">
        <v>5000</v>
      </c>
      <c r="D34" s="100"/>
      <c r="E34" s="100"/>
      <c r="F34" s="221" t="s">
        <v>102</v>
      </c>
    </row>
    <row r="35" spans="1:6" x14ac:dyDescent="0.3">
      <c r="A35" s="99" t="s">
        <v>117</v>
      </c>
      <c r="B35" s="99" t="s">
        <v>136</v>
      </c>
      <c r="C35" s="104">
        <v>5000</v>
      </c>
      <c r="D35" s="100"/>
      <c r="E35" s="100"/>
      <c r="F35" s="221" t="s">
        <v>102</v>
      </c>
    </row>
    <row r="36" spans="1:6" x14ac:dyDescent="0.3">
      <c r="A36" s="99" t="s">
        <v>118</v>
      </c>
      <c r="B36" s="99" t="s">
        <v>137</v>
      </c>
      <c r="C36" s="104">
        <v>3000</v>
      </c>
      <c r="D36" s="100"/>
      <c r="E36" s="100"/>
      <c r="F36" s="221" t="s">
        <v>102</v>
      </c>
    </row>
    <row r="37" spans="1:6" x14ac:dyDescent="0.3">
      <c r="A37" s="99" t="s">
        <v>119</v>
      </c>
      <c r="B37" s="99" t="s">
        <v>138</v>
      </c>
      <c r="C37" s="104">
        <v>500</v>
      </c>
      <c r="D37" s="100"/>
      <c r="E37" s="100"/>
      <c r="F37" s="221" t="s">
        <v>102</v>
      </c>
    </row>
    <row r="38" spans="1:6" x14ac:dyDescent="0.3">
      <c r="A38" s="105" t="s">
        <v>56</v>
      </c>
      <c r="B38" s="105" t="s">
        <v>148</v>
      </c>
      <c r="C38" s="110">
        <f>'Valorisables + spéciaux'!F27</f>
        <v>15190</v>
      </c>
      <c r="D38" s="100"/>
      <c r="E38" s="100"/>
      <c r="F38" s="107" t="s">
        <v>103</v>
      </c>
    </row>
    <row r="39" spans="1:6" x14ac:dyDescent="0.3">
      <c r="A39" s="105" t="s">
        <v>32</v>
      </c>
      <c r="B39" s="106" t="s">
        <v>149</v>
      </c>
      <c r="C39" s="110">
        <f>'Valorisables + spéciaux'!F28</f>
        <v>15190</v>
      </c>
      <c r="D39" s="100"/>
      <c r="E39" s="100"/>
      <c r="F39" s="107" t="s">
        <v>103</v>
      </c>
    </row>
    <row r="40" spans="1:6" x14ac:dyDescent="0.3">
      <c r="A40" s="105" t="s">
        <v>34</v>
      </c>
      <c r="B40" s="106" t="s">
        <v>150</v>
      </c>
      <c r="C40" s="110">
        <f>'Valorisables + spéciaux'!F29</f>
        <v>11760</v>
      </c>
      <c r="D40" s="100"/>
      <c r="E40" s="100"/>
      <c r="F40" s="107" t="s">
        <v>103</v>
      </c>
    </row>
    <row r="41" spans="1:6" x14ac:dyDescent="0.3">
      <c r="A41" s="105" t="s">
        <v>36</v>
      </c>
      <c r="B41" s="106" t="s">
        <v>151</v>
      </c>
      <c r="C41" s="110">
        <f>'Valorisables + spéciaux'!F30</f>
        <v>5390</v>
      </c>
      <c r="D41" s="100"/>
      <c r="E41" s="100"/>
      <c r="F41" s="107" t="s">
        <v>103</v>
      </c>
    </row>
    <row r="42" spans="1:6" x14ac:dyDescent="0.3">
      <c r="A42" s="105" t="s">
        <v>57</v>
      </c>
      <c r="B42" s="106" t="s">
        <v>152</v>
      </c>
      <c r="C42" s="110">
        <f>'Valorisables + spéciaux'!F31</f>
        <v>20090</v>
      </c>
      <c r="D42" s="100"/>
      <c r="E42" s="100"/>
      <c r="F42" s="107" t="s">
        <v>103</v>
      </c>
    </row>
    <row r="43" spans="1:6" x14ac:dyDescent="0.3">
      <c r="A43" s="105" t="s">
        <v>38</v>
      </c>
      <c r="B43" s="106" t="s">
        <v>153</v>
      </c>
      <c r="C43" s="110">
        <f>'Valorisables + spéciaux'!F32</f>
        <v>12250</v>
      </c>
      <c r="D43" s="100"/>
      <c r="E43" s="100"/>
      <c r="F43" s="107" t="s">
        <v>103</v>
      </c>
    </row>
    <row r="44" spans="1:6" x14ac:dyDescent="0.3">
      <c r="A44" s="105" t="s">
        <v>40</v>
      </c>
      <c r="B44" s="106" t="s">
        <v>154</v>
      </c>
      <c r="C44" s="110">
        <f>'Valorisables + spéciaux'!F33</f>
        <v>1140</v>
      </c>
      <c r="D44" s="100"/>
      <c r="E44" s="100"/>
      <c r="F44" s="107" t="s">
        <v>103</v>
      </c>
    </row>
    <row r="45" spans="1:6" x14ac:dyDescent="0.3">
      <c r="A45" s="105" t="s">
        <v>42</v>
      </c>
      <c r="B45" s="106" t="s">
        <v>155</v>
      </c>
      <c r="C45" s="110">
        <f>'Valorisables + spéciaux'!F34</f>
        <v>0</v>
      </c>
      <c r="D45" s="100"/>
      <c r="E45" s="100"/>
      <c r="F45" s="107" t="s">
        <v>103</v>
      </c>
    </row>
    <row r="46" spans="1:6" x14ac:dyDescent="0.3">
      <c r="A46" s="105" t="s">
        <v>44</v>
      </c>
      <c r="B46" s="106" t="s">
        <v>156</v>
      </c>
      <c r="C46" s="110">
        <f>'Valorisables + spéciaux'!F35</f>
        <v>0</v>
      </c>
      <c r="D46" s="100"/>
      <c r="E46" s="100"/>
      <c r="F46" s="107" t="s">
        <v>103</v>
      </c>
    </row>
    <row r="47" spans="1:6" x14ac:dyDescent="0.3">
      <c r="A47" s="105" t="s">
        <v>58</v>
      </c>
      <c r="B47" s="106" t="s">
        <v>157</v>
      </c>
      <c r="C47" s="110">
        <f>'Valorisables + spéciaux'!F36</f>
        <v>0</v>
      </c>
      <c r="D47" s="100"/>
      <c r="E47" s="100"/>
      <c r="F47" s="107" t="s">
        <v>103</v>
      </c>
    </row>
    <row r="48" spans="1:6" x14ac:dyDescent="0.3">
      <c r="A48" s="105" t="s">
        <v>158</v>
      </c>
      <c r="B48" s="105" t="s">
        <v>168</v>
      </c>
      <c r="C48" s="110">
        <f>IF('Valorisables + spéciaux'!J27&lt;0,0,'Valorisables + spéciaux'!J27)</f>
        <v>16272.55</v>
      </c>
      <c r="D48" s="100"/>
      <c r="E48" s="100"/>
      <c r="F48" s="107" t="s">
        <v>103</v>
      </c>
    </row>
    <row r="49" spans="1:6" x14ac:dyDescent="0.3">
      <c r="A49" s="105" t="s">
        <v>159</v>
      </c>
      <c r="B49" s="106" t="s">
        <v>169</v>
      </c>
      <c r="C49" s="110">
        <f>IF('Valorisables + spéciaux'!J28&lt;0,0,'Valorisables + spéciaux'!J28)</f>
        <v>13720.8</v>
      </c>
      <c r="D49" s="100"/>
      <c r="E49" s="100"/>
      <c r="F49" s="107" t="s">
        <v>103</v>
      </c>
    </row>
    <row r="50" spans="1:6" x14ac:dyDescent="0.3">
      <c r="A50" s="105" t="s">
        <v>160</v>
      </c>
      <c r="B50" s="106" t="s">
        <v>170</v>
      </c>
      <c r="C50" s="110">
        <f>IF('Valorisables + spéciaux'!J29&lt;0,0,'Valorisables + spéciaux'!J29)</f>
        <v>11017.45</v>
      </c>
      <c r="D50" s="100"/>
      <c r="E50" s="100"/>
      <c r="F50" s="107" t="s">
        <v>103</v>
      </c>
    </row>
    <row r="51" spans="1:6" x14ac:dyDescent="0.3">
      <c r="A51" s="105" t="s">
        <v>161</v>
      </c>
      <c r="B51" s="106" t="s">
        <v>171</v>
      </c>
      <c r="C51" s="110">
        <f>IF('Valorisables + spéciaux'!J30&lt;0,0,'Valorisables + spéciaux'!J30)</f>
        <v>0</v>
      </c>
      <c r="D51" s="100"/>
      <c r="E51" s="100"/>
      <c r="F51" s="107" t="s">
        <v>103</v>
      </c>
    </row>
    <row r="52" spans="1:6" x14ac:dyDescent="0.3">
      <c r="A52" s="105" t="s">
        <v>162</v>
      </c>
      <c r="B52" s="106" t="s">
        <v>172</v>
      </c>
      <c r="C52" s="110">
        <f>IF('Valorisables + spéciaux'!J31&lt;0,0,'Valorisables + spéciaux'!J31)</f>
        <v>0</v>
      </c>
      <c r="D52" s="100"/>
      <c r="E52" s="100"/>
      <c r="F52" s="107" t="s">
        <v>103</v>
      </c>
    </row>
    <row r="53" spans="1:6" x14ac:dyDescent="0.3">
      <c r="A53" s="105" t="s">
        <v>163</v>
      </c>
      <c r="B53" s="106" t="s">
        <v>173</v>
      </c>
      <c r="C53" s="110">
        <f>IF('Valorisables + spéciaux'!J32&lt;0,0,'Valorisables + spéciaux'!J32)</f>
        <v>0</v>
      </c>
      <c r="D53" s="100"/>
      <c r="E53" s="100"/>
      <c r="F53" s="107" t="s">
        <v>103</v>
      </c>
    </row>
    <row r="54" spans="1:6" x14ac:dyDescent="0.3">
      <c r="A54" s="105" t="s">
        <v>164</v>
      </c>
      <c r="B54" s="106" t="s">
        <v>174</v>
      </c>
      <c r="C54" s="110">
        <f>IF('Valorisables + spéciaux'!J33&lt;0,0,'Valorisables + spéciaux'!J33)</f>
        <v>8943.75</v>
      </c>
      <c r="D54" s="100"/>
      <c r="E54" s="100"/>
      <c r="F54" s="107" t="s">
        <v>103</v>
      </c>
    </row>
    <row r="55" spans="1:6" x14ac:dyDescent="0.3">
      <c r="A55" s="105" t="s">
        <v>165</v>
      </c>
      <c r="B55" s="106" t="s">
        <v>175</v>
      </c>
      <c r="C55" s="110">
        <f>IF('Valorisables + spéciaux'!J34&lt;0,0,'Valorisables + spéciaux'!J34)</f>
        <v>2401.8000000000002</v>
      </c>
      <c r="D55" s="100"/>
      <c r="E55" s="100"/>
      <c r="F55" s="107" t="s">
        <v>103</v>
      </c>
    </row>
    <row r="56" spans="1:6" x14ac:dyDescent="0.3">
      <c r="A56" s="105" t="s">
        <v>166</v>
      </c>
      <c r="B56" s="106" t="s">
        <v>176</v>
      </c>
      <c r="C56" s="110">
        <f>IF('Valorisables + spéciaux'!J35&lt;0,0,'Valorisables + spéciaux'!J35)</f>
        <v>0</v>
      </c>
      <c r="D56" s="100"/>
      <c r="E56" s="100"/>
      <c r="F56" s="107" t="s">
        <v>103</v>
      </c>
    </row>
    <row r="57" spans="1:6" x14ac:dyDescent="0.3">
      <c r="A57" s="105" t="s">
        <v>167</v>
      </c>
      <c r="B57" s="106" t="s">
        <v>177</v>
      </c>
      <c r="C57" s="110">
        <f>IF('Valorisables + spéciaux'!J36&lt;0,0,'Valorisables + spéciaux'!J36)</f>
        <v>0</v>
      </c>
      <c r="D57" s="100"/>
      <c r="E57" s="100"/>
      <c r="F57" s="107" t="s">
        <v>103</v>
      </c>
    </row>
    <row r="58" spans="1:6" x14ac:dyDescent="0.3">
      <c r="A58" s="105" t="s">
        <v>186</v>
      </c>
      <c r="B58" s="106" t="s">
        <v>187</v>
      </c>
      <c r="C58" s="104">
        <v>5000</v>
      </c>
      <c r="D58" s="100"/>
      <c r="E58" s="100"/>
      <c r="F58" s="221" t="s">
        <v>102</v>
      </c>
    </row>
    <row r="59" spans="1:6" x14ac:dyDescent="0.3">
      <c r="A59" s="105" t="s">
        <v>188</v>
      </c>
      <c r="B59" s="106" t="s">
        <v>189</v>
      </c>
      <c r="C59" s="104">
        <v>1000</v>
      </c>
      <c r="D59" s="100"/>
      <c r="E59" s="100"/>
      <c r="F59" s="221" t="s">
        <v>102</v>
      </c>
    </row>
    <row r="60" spans="1:6" x14ac:dyDescent="0.3">
      <c r="A60" s="99" t="s">
        <v>120</v>
      </c>
      <c r="B60" s="99" t="s">
        <v>139</v>
      </c>
      <c r="C60" s="104">
        <v>25000</v>
      </c>
      <c r="D60" s="100"/>
      <c r="E60" s="100"/>
      <c r="F60" s="221" t="s">
        <v>102</v>
      </c>
    </row>
    <row r="61" spans="1:6" x14ac:dyDescent="0.3">
      <c r="A61" s="99" t="s">
        <v>121</v>
      </c>
      <c r="B61" s="99" t="s">
        <v>140</v>
      </c>
      <c r="C61" s="104">
        <v>2900</v>
      </c>
      <c r="D61" s="100"/>
      <c r="E61" s="100"/>
      <c r="F61" s="221" t="s">
        <v>178</v>
      </c>
    </row>
    <row r="62" spans="1:6" x14ac:dyDescent="0.3">
      <c r="A62" s="99" t="s">
        <v>122</v>
      </c>
      <c r="B62" s="99" t="s">
        <v>141</v>
      </c>
      <c r="C62" s="100"/>
      <c r="D62" s="111">
        <f>+('Calcul de la taxe'!E32)</f>
        <v>-205777.80000000002</v>
      </c>
      <c r="E62" s="100"/>
      <c r="F62" s="107" t="s">
        <v>103</v>
      </c>
    </row>
    <row r="63" spans="1:6" x14ac:dyDescent="0.3">
      <c r="A63" s="99" t="s">
        <v>123</v>
      </c>
      <c r="B63" s="99" t="s">
        <v>142</v>
      </c>
      <c r="C63" s="100"/>
      <c r="D63" s="142">
        <f>'Calcul de la taxe'!E13</f>
        <v>-48488</v>
      </c>
      <c r="E63" s="100"/>
      <c r="F63" s="107" t="s">
        <v>103</v>
      </c>
    </row>
    <row r="64" spans="1:6" x14ac:dyDescent="0.3">
      <c r="A64" s="99" t="s">
        <v>124</v>
      </c>
      <c r="B64" s="99" t="s">
        <v>143</v>
      </c>
      <c r="C64" s="100"/>
      <c r="D64" s="113">
        <f>SUM('Calcul de la taxe'!E15:E18)</f>
        <v>-5000</v>
      </c>
      <c r="E64" s="100"/>
      <c r="F64" s="107" t="s">
        <v>103</v>
      </c>
    </row>
    <row r="65" spans="1:6" x14ac:dyDescent="0.3">
      <c r="A65" s="99" t="s">
        <v>125</v>
      </c>
      <c r="B65" s="99" t="s">
        <v>144</v>
      </c>
      <c r="C65" s="100"/>
      <c r="D65" s="113">
        <f>'Calcul de la taxe'!E19</f>
        <v>-10000</v>
      </c>
      <c r="E65" s="100"/>
      <c r="F65" s="107" t="s">
        <v>103</v>
      </c>
    </row>
    <row r="66" spans="1:6" x14ac:dyDescent="0.3">
      <c r="A66" s="99" t="s">
        <v>126</v>
      </c>
      <c r="B66" s="99" t="s">
        <v>145</v>
      </c>
      <c r="C66" s="100"/>
      <c r="D66" s="112">
        <f>IF('Valorisables + spéciaux'!J30&gt;0,0,'Valorisables + spéciaux'!J30)+IF('Valorisables + spéciaux'!J31&gt;0,0,'Valorisables + spéciaux'!J31)+IF('Valorisables + spéciaux'!J32&gt;0,0,'Valorisables + spéciaux'!J32)+IF('Valorisables + spéciaux'!J35&gt;0,0,'Valorisables + spéciaux'!J35)+IF('Valorisables + spéciaux'!J36&gt;0,0,'Valorisables + spéciaux'!J36)</f>
        <v>-19447.75</v>
      </c>
      <c r="E66" s="100"/>
      <c r="F66" s="107" t="s">
        <v>103</v>
      </c>
    </row>
    <row r="67" spans="1:6" x14ac:dyDescent="0.3">
      <c r="A67" s="99" t="s">
        <v>127</v>
      </c>
      <c r="B67" s="99" t="s">
        <v>100</v>
      </c>
      <c r="C67" s="100"/>
      <c r="D67" s="112">
        <v>-500</v>
      </c>
      <c r="E67" s="100"/>
      <c r="F67" s="221" t="s">
        <v>102</v>
      </c>
    </row>
    <row r="68" spans="1:6" x14ac:dyDescent="0.3">
      <c r="A68" s="99" t="s">
        <v>128</v>
      </c>
      <c r="B68" s="99" t="s">
        <v>146</v>
      </c>
      <c r="C68" s="100"/>
      <c r="D68" s="112">
        <v>-500</v>
      </c>
      <c r="E68" s="100"/>
      <c r="F68" s="221" t="s">
        <v>102</v>
      </c>
    </row>
    <row r="69" spans="1:6" x14ac:dyDescent="0.3">
      <c r="A69" s="105" t="s">
        <v>129</v>
      </c>
      <c r="B69" s="105" t="s">
        <v>147</v>
      </c>
      <c r="C69" s="100"/>
      <c r="D69" s="112">
        <v>0</v>
      </c>
      <c r="E69" s="100"/>
      <c r="F69" s="221" t="s">
        <v>102</v>
      </c>
    </row>
    <row r="70" spans="1:6" x14ac:dyDescent="0.3">
      <c r="F70" s="108"/>
    </row>
    <row r="71" spans="1:6" x14ac:dyDescent="0.3">
      <c r="B71" s="42" t="s">
        <v>179</v>
      </c>
      <c r="C71" s="34">
        <f>SUM(C72:C76)</f>
        <v>27169.05</v>
      </c>
      <c r="D71" s="34">
        <f>SUM(D72:D76)</f>
        <v>0</v>
      </c>
      <c r="E71" s="34">
        <f>C71+D71</f>
        <v>27169.05</v>
      </c>
      <c r="F71" s="108"/>
    </row>
    <row r="72" spans="1:6" x14ac:dyDescent="0.3">
      <c r="A72" s="99" t="s">
        <v>49</v>
      </c>
      <c r="B72" s="99" t="s">
        <v>180</v>
      </c>
      <c r="C72" s="114">
        <f>'Valorisables + spéciaux'!F38+'Valorisables + spéciaux'!J38</f>
        <v>9176.7999999999993</v>
      </c>
      <c r="D72" s="99"/>
      <c r="E72" s="99"/>
      <c r="F72" s="109" t="s">
        <v>103</v>
      </c>
    </row>
    <row r="73" spans="1:6" x14ac:dyDescent="0.3">
      <c r="A73" s="99" t="s">
        <v>51</v>
      </c>
      <c r="B73" s="99" t="s">
        <v>185</v>
      </c>
      <c r="C73" s="114">
        <f>'Valorisables + spéciaux'!F39+'Valorisables + spéciaux'!J39</f>
        <v>3586</v>
      </c>
      <c r="D73" s="99"/>
      <c r="E73" s="99"/>
      <c r="F73" s="109" t="s">
        <v>103</v>
      </c>
    </row>
    <row r="74" spans="1:6" x14ac:dyDescent="0.3">
      <c r="A74" s="99" t="s">
        <v>52</v>
      </c>
      <c r="B74" s="99" t="s">
        <v>181</v>
      </c>
      <c r="C74" s="114">
        <f>'Valorisables + spéciaux'!F40+'Valorisables + spéciaux'!J40</f>
        <v>849.25</v>
      </c>
      <c r="D74" s="99"/>
      <c r="E74" s="99"/>
      <c r="F74" s="109" t="s">
        <v>103</v>
      </c>
    </row>
    <row r="75" spans="1:6" x14ac:dyDescent="0.3">
      <c r="A75" s="99" t="s">
        <v>54</v>
      </c>
      <c r="B75" s="99" t="s">
        <v>182</v>
      </c>
      <c r="C75" s="114">
        <f>'Valorisables + spéciaux'!F41+'Valorisables + spéciaux'!J41</f>
        <v>13557</v>
      </c>
      <c r="D75" s="99"/>
      <c r="E75" s="99"/>
      <c r="F75" s="109" t="s">
        <v>103</v>
      </c>
    </row>
    <row r="76" spans="1:6" x14ac:dyDescent="0.3">
      <c r="A76" s="99" t="s">
        <v>183</v>
      </c>
      <c r="B76" s="99" t="s">
        <v>184</v>
      </c>
      <c r="C76" s="99"/>
      <c r="D76" s="115">
        <v>0</v>
      </c>
      <c r="E76" s="99"/>
      <c r="F76" s="221" t="s">
        <v>102</v>
      </c>
    </row>
  </sheetData>
  <mergeCells count="3">
    <mergeCell ref="A1:F1"/>
    <mergeCell ref="A2:F2"/>
    <mergeCell ref="H10:J10"/>
  </mergeCells>
  <printOptions horizontalCentered="1"/>
  <pageMargins left="0" right="0" top="0.15748031496062992" bottom="0.15748031496062992" header="0.31496062992125984" footer="0.31496062992125984"/>
  <pageSetup paperSize="8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A13" sqref="A13"/>
    </sheetView>
  </sheetViews>
  <sheetFormatPr baseColWidth="10" defaultRowHeight="15.75" x14ac:dyDescent="0.25"/>
  <cols>
    <col min="1" max="1" width="34.6640625" style="132" customWidth="1"/>
    <col min="2" max="2" width="8.5546875" style="132" customWidth="1"/>
    <col min="3" max="3" width="5.33203125" style="132" customWidth="1"/>
    <col min="4" max="5" width="10.6640625" style="132" customWidth="1"/>
    <col min="6" max="6" width="10.6640625" style="132" bestFit="1" customWidth="1"/>
    <col min="7" max="7" width="17.44140625" style="132" customWidth="1"/>
    <col min="8" max="16384" width="11.5546875" style="132"/>
  </cols>
  <sheetData>
    <row r="1" spans="1:10" ht="33" customHeight="1" x14ac:dyDescent="0.25">
      <c r="A1" s="249" t="s">
        <v>223</v>
      </c>
      <c r="B1" s="249"/>
      <c r="C1" s="249"/>
      <c r="D1" s="249"/>
      <c r="E1" s="249"/>
      <c r="F1" s="249"/>
      <c r="G1" s="249"/>
    </row>
    <row r="2" spans="1:10" ht="13.5" customHeight="1" x14ac:dyDescent="0.35">
      <c r="A2" s="141"/>
      <c r="B2" s="141"/>
      <c r="C2" s="141"/>
      <c r="D2" s="141"/>
      <c r="E2" s="141"/>
      <c r="F2" s="141"/>
    </row>
    <row r="3" spans="1:10" ht="16.5" customHeight="1" x14ac:dyDescent="0.35">
      <c r="A3" s="141"/>
      <c r="B3" s="145"/>
      <c r="C3" s="215"/>
      <c r="D3" s="191" t="s">
        <v>230</v>
      </c>
      <c r="E3" s="141"/>
      <c r="F3" s="141"/>
    </row>
    <row r="4" spans="1:10" ht="6.75" customHeight="1" x14ac:dyDescent="0.25">
      <c r="A4" s="143"/>
      <c r="B4" s="143"/>
      <c r="C4" s="143"/>
      <c r="D4" s="143"/>
      <c r="E4" s="143"/>
      <c r="F4" s="143"/>
    </row>
    <row r="5" spans="1:10" x14ac:dyDescent="0.25">
      <c r="A5" s="250" t="s">
        <v>232</v>
      </c>
      <c r="B5" s="251"/>
    </row>
    <row r="6" spans="1:10" ht="15.75" customHeight="1" x14ac:dyDescent="0.25">
      <c r="A6" s="149" t="s">
        <v>203</v>
      </c>
      <c r="B6" s="150">
        <f>Incinérables!B20</f>
        <v>356.40477971737323</v>
      </c>
      <c r="C6" s="143"/>
      <c r="D6" s="143"/>
      <c r="E6" s="143"/>
      <c r="F6" s="143"/>
    </row>
    <row r="7" spans="1:10" ht="15.75" customHeight="1" x14ac:dyDescent="0.25">
      <c r="A7" s="151" t="s">
        <v>204</v>
      </c>
      <c r="B7" s="152">
        <f>B6*2%</f>
        <v>7.1280955943474646</v>
      </c>
      <c r="C7" s="143"/>
      <c r="D7" s="143"/>
      <c r="E7" s="143"/>
      <c r="F7" s="143"/>
    </row>
    <row r="8" spans="1:10" x14ac:dyDescent="0.25">
      <c r="A8" s="151" t="s">
        <v>205</v>
      </c>
      <c r="B8" s="216">
        <v>2500</v>
      </c>
      <c r="C8" s="143"/>
      <c r="D8" s="138"/>
      <c r="E8" s="138"/>
      <c r="F8" s="143"/>
    </row>
    <row r="9" spans="1:10" x14ac:dyDescent="0.25">
      <c r="A9" s="151" t="s">
        <v>206</v>
      </c>
      <c r="B9" s="217">
        <v>-400</v>
      </c>
      <c r="C9" s="143"/>
      <c r="D9" s="138"/>
      <c r="E9" s="138"/>
      <c r="F9" s="143"/>
    </row>
    <row r="10" spans="1:10" x14ac:dyDescent="0.25">
      <c r="A10" s="153" t="s">
        <v>207</v>
      </c>
      <c r="B10" s="154">
        <f>SUM(B8:B9)</f>
        <v>2100</v>
      </c>
      <c r="C10" s="143"/>
      <c r="D10" s="138"/>
      <c r="E10" s="138"/>
      <c r="F10" s="143"/>
    </row>
    <row r="11" spans="1:10" ht="13.5" customHeight="1" x14ac:dyDescent="0.25">
      <c r="A11" s="143"/>
      <c r="B11" s="143"/>
      <c r="C11" s="143"/>
      <c r="D11" s="138"/>
      <c r="E11" s="138"/>
      <c r="F11" s="143"/>
      <c r="H11" s="134"/>
    </row>
    <row r="12" spans="1:10" ht="16.5" x14ac:dyDescent="0.3">
      <c r="A12" s="133" t="s">
        <v>4</v>
      </c>
      <c r="B12" s="133" t="s">
        <v>225</v>
      </c>
      <c r="C12" s="133" t="s">
        <v>231</v>
      </c>
      <c r="D12" s="156" t="s">
        <v>69</v>
      </c>
      <c r="E12" s="156" t="s">
        <v>70</v>
      </c>
      <c r="F12" s="133" t="s">
        <v>202</v>
      </c>
      <c r="G12" s="133" t="s">
        <v>101</v>
      </c>
    </row>
    <row r="13" spans="1:10" x14ac:dyDescent="0.25">
      <c r="A13" s="143" t="s">
        <v>224</v>
      </c>
      <c r="B13" s="215">
        <v>290</v>
      </c>
      <c r="C13" s="143"/>
      <c r="D13" s="166"/>
      <c r="E13" s="167">
        <f>F13*B13</f>
        <v>-48488</v>
      </c>
      <c r="F13" s="220">
        <v>-167.2</v>
      </c>
      <c r="G13" s="148" t="s">
        <v>226</v>
      </c>
      <c r="H13" s="136"/>
      <c r="I13" s="137"/>
      <c r="J13" s="136"/>
    </row>
    <row r="14" spans="1:10" ht="11.25" customHeight="1" x14ac:dyDescent="0.25">
      <c r="A14" s="143"/>
      <c r="B14" s="143"/>
      <c r="C14" s="143"/>
      <c r="D14" s="157"/>
      <c r="E14" s="157"/>
      <c r="F14" s="143"/>
      <c r="G14" s="148"/>
    </row>
    <row r="15" spans="1:10" x14ac:dyDescent="0.25">
      <c r="A15" s="143" t="s">
        <v>208</v>
      </c>
      <c r="B15" s="144"/>
      <c r="C15" s="218">
        <v>12</v>
      </c>
      <c r="D15" s="157"/>
      <c r="E15" s="158">
        <f>C15*F15</f>
        <v>-300</v>
      </c>
      <c r="F15" s="220">
        <v>-25</v>
      </c>
      <c r="G15" s="148" t="s">
        <v>226</v>
      </c>
    </row>
    <row r="16" spans="1:10" x14ac:dyDescent="0.25">
      <c r="A16" s="143" t="s">
        <v>209</v>
      </c>
      <c r="B16" s="144"/>
      <c r="C16" s="218">
        <v>70</v>
      </c>
      <c r="D16" s="157"/>
      <c r="E16" s="158">
        <f>F16*C16</f>
        <v>-3500</v>
      </c>
      <c r="F16" s="220">
        <v>-50</v>
      </c>
      <c r="G16" s="148" t="s">
        <v>226</v>
      </c>
    </row>
    <row r="17" spans="1:7" x14ac:dyDescent="0.25">
      <c r="A17" s="143" t="s">
        <v>210</v>
      </c>
      <c r="B17" s="144"/>
      <c r="C17" s="218">
        <v>5</v>
      </c>
      <c r="D17" s="157"/>
      <c r="E17" s="158">
        <f>C17*F17</f>
        <v>-750</v>
      </c>
      <c r="F17" s="220">
        <v>-150</v>
      </c>
      <c r="G17" s="148" t="s">
        <v>226</v>
      </c>
    </row>
    <row r="18" spans="1:7" x14ac:dyDescent="0.25">
      <c r="A18" s="143" t="s">
        <v>211</v>
      </c>
      <c r="B18" s="144"/>
      <c r="C18" s="218">
        <v>3</v>
      </c>
      <c r="D18" s="157"/>
      <c r="E18" s="158">
        <f>C18*F18</f>
        <v>-450</v>
      </c>
      <c r="F18" s="220">
        <v>-150</v>
      </c>
      <c r="G18" s="148" t="s">
        <v>226</v>
      </c>
    </row>
    <row r="19" spans="1:7" x14ac:dyDescent="0.25">
      <c r="A19" s="143" t="s">
        <v>212</v>
      </c>
      <c r="B19" s="144"/>
      <c r="C19" s="143"/>
      <c r="D19" s="157"/>
      <c r="E19" s="219">
        <v>-10000</v>
      </c>
      <c r="F19" s="137"/>
      <c r="G19" s="148" t="s">
        <v>229</v>
      </c>
    </row>
    <row r="20" spans="1:7" ht="10.5" customHeight="1" x14ac:dyDescent="0.25">
      <c r="A20" s="143"/>
      <c r="B20" s="143"/>
      <c r="C20" s="143"/>
      <c r="D20" s="157"/>
      <c r="E20" s="157"/>
      <c r="F20" s="143"/>
    </row>
    <row r="21" spans="1:7" x14ac:dyDescent="0.25">
      <c r="A21" s="143" t="s">
        <v>213</v>
      </c>
      <c r="B21" s="143"/>
      <c r="C21" s="143"/>
      <c r="D21" s="159">
        <f>'Budget - base'!I13+'Budget - base'!I14</f>
        <v>113184.05</v>
      </c>
      <c r="E21" s="157"/>
      <c r="F21" s="143"/>
      <c r="G21" s="148"/>
    </row>
    <row r="22" spans="1:7" x14ac:dyDescent="0.25">
      <c r="A22" s="143" t="s">
        <v>214</v>
      </c>
      <c r="B22" s="143"/>
      <c r="C22" s="143"/>
      <c r="D22" s="160">
        <f>'Budget - base'!I15</f>
        <v>133366.35</v>
      </c>
      <c r="E22" s="157"/>
      <c r="F22" s="143"/>
      <c r="G22" s="148"/>
    </row>
    <row r="23" spans="1:7" x14ac:dyDescent="0.25">
      <c r="A23" s="143" t="s">
        <v>215</v>
      </c>
      <c r="B23" s="143"/>
      <c r="C23" s="143"/>
      <c r="D23" s="161">
        <f>'Budget - base'!I16</f>
        <v>22500</v>
      </c>
      <c r="E23" s="157"/>
      <c r="F23" s="143"/>
      <c r="G23" s="148"/>
    </row>
    <row r="24" spans="1:7" x14ac:dyDescent="0.25">
      <c r="A24" s="143" t="s">
        <v>216</v>
      </c>
      <c r="B24" s="143"/>
      <c r="C24" s="143"/>
      <c r="D24" s="162">
        <f>'Budget - base'!I18</f>
        <v>91510</v>
      </c>
      <c r="E24" s="157"/>
      <c r="F24" s="143"/>
      <c r="G24" s="148"/>
    </row>
    <row r="25" spans="1:7" x14ac:dyDescent="0.25">
      <c r="A25" s="143" t="s">
        <v>217</v>
      </c>
      <c r="B25" s="143"/>
      <c r="C25" s="143"/>
      <c r="D25" s="163">
        <f>'Budget - base'!I17</f>
        <v>55400</v>
      </c>
      <c r="E25" s="157"/>
      <c r="F25" s="143"/>
      <c r="G25" s="148"/>
    </row>
    <row r="26" spans="1:7" x14ac:dyDescent="0.25">
      <c r="A26" s="143" t="s">
        <v>218</v>
      </c>
      <c r="B26" s="143"/>
      <c r="C26" s="143"/>
      <c r="D26" s="157"/>
      <c r="E26" s="164">
        <f>'Budget - base'!I20</f>
        <v>-24447.75</v>
      </c>
      <c r="F26" s="143"/>
      <c r="G26" s="148"/>
    </row>
    <row r="27" spans="1:7" x14ac:dyDescent="0.25">
      <c r="A27" s="143" t="s">
        <v>219</v>
      </c>
      <c r="B27" s="143"/>
      <c r="C27" s="143"/>
      <c r="D27" s="157"/>
      <c r="E27" s="157">
        <f>Incinérables!E22</f>
        <v>-122246.85</v>
      </c>
      <c r="F27" s="137"/>
      <c r="G27" s="148"/>
    </row>
    <row r="28" spans="1:7" ht="16.5" x14ac:dyDescent="0.3">
      <c r="A28" s="146" t="s">
        <v>220</v>
      </c>
      <c r="B28" s="143"/>
      <c r="C28" s="143"/>
      <c r="D28" s="157"/>
      <c r="E28" s="165">
        <v>0</v>
      </c>
      <c r="F28" s="147">
        <f>E28/D30</f>
        <v>0</v>
      </c>
      <c r="G28" s="188" t="s">
        <v>245</v>
      </c>
    </row>
    <row r="29" spans="1:7" ht="6" customHeight="1" x14ac:dyDescent="0.25">
      <c r="A29" s="143"/>
      <c r="B29" s="143"/>
      <c r="C29" s="143"/>
      <c r="D29" s="138"/>
      <c r="E29" s="138"/>
      <c r="F29" s="143"/>
      <c r="G29" s="148"/>
    </row>
    <row r="30" spans="1:7" ht="16.5" x14ac:dyDescent="0.3">
      <c r="A30" s="169" t="s">
        <v>234</v>
      </c>
      <c r="B30" s="143"/>
      <c r="C30" s="143"/>
      <c r="D30" s="168">
        <f>SUM(D6:D28)</f>
        <v>415960.4</v>
      </c>
      <c r="E30" s="168">
        <f>SUM(E6:E28)</f>
        <v>-210182.6</v>
      </c>
      <c r="F30" s="143"/>
      <c r="G30" s="148"/>
    </row>
    <row r="31" spans="1:7" ht="5.25" customHeight="1" x14ac:dyDescent="0.25">
      <c r="A31" s="143"/>
      <c r="B31" s="143"/>
      <c r="C31" s="143"/>
      <c r="D31" s="138"/>
      <c r="E31" s="138"/>
      <c r="F31" s="143"/>
      <c r="G31" s="148"/>
    </row>
    <row r="32" spans="1:7" ht="16.5" x14ac:dyDescent="0.3">
      <c r="A32" s="182" t="s">
        <v>221</v>
      </c>
      <c r="B32" s="143"/>
      <c r="C32" s="143"/>
      <c r="D32" s="143"/>
      <c r="E32" s="155">
        <f>-(D30+E30)</f>
        <v>-205777.80000000002</v>
      </c>
      <c r="G32" s="148"/>
    </row>
    <row r="33" spans="1:7" ht="16.5" x14ac:dyDescent="0.3">
      <c r="A33" s="170" t="s">
        <v>233</v>
      </c>
      <c r="B33" s="143"/>
      <c r="C33" s="143"/>
      <c r="D33" s="171"/>
      <c r="E33" s="171"/>
      <c r="F33" s="174">
        <f>-(E32/B10)</f>
        <v>97.989428571428576</v>
      </c>
      <c r="G33" s="148" t="s">
        <v>236</v>
      </c>
    </row>
    <row r="34" spans="1:7" ht="8.25" customHeight="1" x14ac:dyDescent="0.25">
      <c r="A34" s="143"/>
      <c r="B34" s="143"/>
      <c r="C34" s="143"/>
      <c r="D34" s="138"/>
      <c r="E34" s="138"/>
      <c r="F34" s="143"/>
      <c r="G34" s="148"/>
    </row>
    <row r="35" spans="1:7" ht="17.25" thickBot="1" x14ac:dyDescent="0.35">
      <c r="A35" s="170" t="s">
        <v>235</v>
      </c>
      <c r="B35" s="143"/>
      <c r="C35" s="143"/>
      <c r="D35" s="173">
        <f>SUM(D30:D33)</f>
        <v>415960.4</v>
      </c>
      <c r="E35" s="173">
        <f>E32+E30</f>
        <v>-415960.4</v>
      </c>
      <c r="F35" s="143"/>
      <c r="G35" s="148"/>
    </row>
    <row r="36" spans="1:7" ht="16.5" thickTop="1" x14ac:dyDescent="0.25">
      <c r="A36" s="143"/>
      <c r="B36" s="143"/>
      <c r="C36" s="143"/>
      <c r="D36" s="138"/>
      <c r="E36" s="138"/>
      <c r="F36" s="143"/>
      <c r="G36" s="148"/>
    </row>
    <row r="37" spans="1:7" ht="16.5" x14ac:dyDescent="0.3">
      <c r="A37" s="176" t="s">
        <v>239</v>
      </c>
      <c r="B37" s="143"/>
      <c r="C37" s="143"/>
      <c r="D37" s="175">
        <f>'Budget - base'!I19</f>
        <v>27169.05</v>
      </c>
      <c r="E37" s="172"/>
      <c r="F37" s="177">
        <f>D37/D40</f>
        <v>6.1311767926956778E-2</v>
      </c>
      <c r="G37" s="188" t="s">
        <v>241</v>
      </c>
    </row>
    <row r="38" spans="1:7" ht="6" customHeight="1" x14ac:dyDescent="0.25">
      <c r="A38" s="143"/>
      <c r="B38" s="143"/>
      <c r="C38" s="143"/>
      <c r="D38" s="138"/>
      <c r="E38" s="138"/>
      <c r="F38" s="143"/>
      <c r="G38" s="148"/>
    </row>
    <row r="39" spans="1:7" ht="5.25" customHeight="1" x14ac:dyDescent="0.25">
      <c r="A39" s="143"/>
      <c r="B39" s="143"/>
      <c r="C39" s="143"/>
      <c r="D39" s="138"/>
      <c r="E39" s="138"/>
      <c r="F39" s="143"/>
      <c r="G39" s="148"/>
    </row>
    <row r="40" spans="1:7" ht="17.25" thickBot="1" x14ac:dyDescent="0.35">
      <c r="A40" s="170" t="s">
        <v>240</v>
      </c>
      <c r="B40" s="143"/>
      <c r="C40" s="143"/>
      <c r="D40" s="173">
        <f>SUM(D34:D38)</f>
        <v>443129.45</v>
      </c>
      <c r="E40" s="173">
        <f>SUM(E34:E38)</f>
        <v>-415960.4</v>
      </c>
      <c r="F40" s="177">
        <f>-(E40/D40)</f>
        <v>0.93868823207304319</v>
      </c>
      <c r="G40" s="148" t="s">
        <v>242</v>
      </c>
    </row>
    <row r="41" spans="1:7" ht="17.25" thickTop="1" x14ac:dyDescent="0.3">
      <c r="A41" s="143"/>
      <c r="B41" s="143"/>
      <c r="C41" s="143"/>
      <c r="D41" s="138"/>
      <c r="E41" s="138"/>
      <c r="F41" s="147">
        <f>SUM(F37:F40)</f>
        <v>1</v>
      </c>
    </row>
    <row r="42" spans="1:7" ht="16.5" x14ac:dyDescent="0.3">
      <c r="A42" s="143"/>
      <c r="B42" s="143"/>
      <c r="C42" s="143"/>
      <c r="D42" s="138"/>
      <c r="E42" s="138"/>
      <c r="F42" s="147"/>
    </row>
    <row r="43" spans="1:7" ht="16.5" customHeight="1" x14ac:dyDescent="0.3">
      <c r="A43" s="143"/>
      <c r="B43" s="252" t="s">
        <v>4</v>
      </c>
      <c r="C43" s="252"/>
      <c r="D43" s="183" t="s">
        <v>243</v>
      </c>
      <c r="E43" s="183">
        <v>2018</v>
      </c>
    </row>
    <row r="44" spans="1:7" ht="16.5" customHeight="1" x14ac:dyDescent="0.25">
      <c r="A44" s="143"/>
      <c r="B44" s="253" t="s">
        <v>141</v>
      </c>
      <c r="C44" s="254"/>
      <c r="D44" s="179"/>
      <c r="E44" s="180">
        <f>ROUND((F33)*2,1)/2</f>
        <v>98</v>
      </c>
    </row>
    <row r="45" spans="1:7" ht="16.5" customHeight="1" x14ac:dyDescent="0.25">
      <c r="A45" s="143"/>
      <c r="B45" s="255" t="s">
        <v>222</v>
      </c>
      <c r="C45" s="256"/>
      <c r="D45" s="178">
        <v>0.08</v>
      </c>
      <c r="E45" s="181">
        <f>ROUND((E44*D45)*2,1)/2</f>
        <v>7.85</v>
      </c>
    </row>
    <row r="46" spans="1:7" ht="16.5" x14ac:dyDescent="0.3">
      <c r="A46" s="143"/>
      <c r="B46" s="187" t="s">
        <v>244</v>
      </c>
      <c r="C46" s="186"/>
      <c r="D46" s="185"/>
      <c r="E46" s="184">
        <f>SUM(E44:E45)</f>
        <v>105.85</v>
      </c>
      <c r="F46" s="143"/>
    </row>
    <row r="47" spans="1:7" x14ac:dyDescent="0.25">
      <c r="A47" s="143"/>
      <c r="B47" s="143"/>
      <c r="C47" s="143"/>
      <c r="D47" s="138"/>
      <c r="E47" s="138"/>
      <c r="F47" s="143"/>
    </row>
    <row r="48" spans="1:7" x14ac:dyDescent="0.25">
      <c r="A48" s="143"/>
      <c r="B48" s="143"/>
      <c r="C48" s="143"/>
      <c r="D48" s="138"/>
      <c r="E48" s="138"/>
      <c r="F48" s="143"/>
    </row>
    <row r="49" spans="4:5" x14ac:dyDescent="0.25">
      <c r="D49" s="139"/>
      <c r="E49" s="140"/>
    </row>
    <row r="50" spans="4:5" x14ac:dyDescent="0.25">
      <c r="D50" s="139"/>
      <c r="E50" s="139"/>
    </row>
    <row r="53" spans="4:5" x14ac:dyDescent="0.25">
      <c r="E53" s="135"/>
    </row>
  </sheetData>
  <mergeCells count="5">
    <mergeCell ref="A1:G1"/>
    <mergeCell ref="A5:B5"/>
    <mergeCell ref="B43:C43"/>
    <mergeCell ref="B44:C44"/>
    <mergeCell ref="B45:C45"/>
  </mergeCells>
  <printOptions horizontalCentered="1"/>
  <pageMargins left="0" right="0" top="0.35433070866141736" bottom="0.35433070866141736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sqref="A1:C1"/>
    </sheetView>
  </sheetViews>
  <sheetFormatPr baseColWidth="10" defaultRowHeight="16.5" x14ac:dyDescent="0.3"/>
  <cols>
    <col min="1" max="1" width="5.109375" style="1" customWidth="1"/>
    <col min="2" max="2" width="19.77734375" style="1" customWidth="1"/>
    <col min="3" max="3" width="98.88671875" style="1" customWidth="1"/>
    <col min="4" max="16384" width="11.5546875" style="1"/>
  </cols>
  <sheetData>
    <row r="1" spans="1:3" ht="21" x14ac:dyDescent="0.35">
      <c r="A1" s="244" t="s">
        <v>246</v>
      </c>
      <c r="B1" s="244"/>
      <c r="C1" s="244"/>
    </row>
    <row r="3" spans="1:3" x14ac:dyDescent="0.3">
      <c r="A3" s="4" t="s">
        <v>247</v>
      </c>
      <c r="B3" s="4" t="s">
        <v>248</v>
      </c>
      <c r="C3" s="4" t="s">
        <v>4</v>
      </c>
    </row>
    <row r="4" spans="1:3" ht="8.25" customHeight="1" x14ac:dyDescent="0.3"/>
    <row r="5" spans="1:3" x14ac:dyDescent="0.3">
      <c r="A5" s="9">
        <v>1</v>
      </c>
      <c r="B5" s="1" t="s">
        <v>258</v>
      </c>
      <c r="C5" s="1" t="s">
        <v>249</v>
      </c>
    </row>
    <row r="6" spans="1:3" x14ac:dyDescent="0.3">
      <c r="C6" s="1" t="s">
        <v>250</v>
      </c>
    </row>
    <row r="7" spans="1:3" x14ac:dyDescent="0.3">
      <c r="C7" s="1" t="s">
        <v>282</v>
      </c>
    </row>
    <row r="8" spans="1:3" x14ac:dyDescent="0.3">
      <c r="C8" s="1" t="s">
        <v>251</v>
      </c>
    </row>
    <row r="9" spans="1:3" x14ac:dyDescent="0.3">
      <c r="C9" s="1" t="s">
        <v>252</v>
      </c>
    </row>
    <row r="10" spans="1:3" x14ac:dyDescent="0.3">
      <c r="C10" s="1" t="s">
        <v>253</v>
      </c>
    </row>
    <row r="11" spans="1:3" x14ac:dyDescent="0.3">
      <c r="C11" s="1" t="s">
        <v>254</v>
      </c>
    </row>
    <row r="12" spans="1:3" x14ac:dyDescent="0.3">
      <c r="C12" s="1" t="s">
        <v>255</v>
      </c>
    </row>
    <row r="13" spans="1:3" x14ac:dyDescent="0.3">
      <c r="C13" s="1" t="s">
        <v>256</v>
      </c>
    </row>
    <row r="14" spans="1:3" x14ac:dyDescent="0.3">
      <c r="C14" s="1" t="s">
        <v>257</v>
      </c>
    </row>
    <row r="15" spans="1:3" x14ac:dyDescent="0.3">
      <c r="C15" s="1" t="s">
        <v>265</v>
      </c>
    </row>
    <row r="17" spans="1:3" x14ac:dyDescent="0.3">
      <c r="A17" s="9">
        <v>2</v>
      </c>
      <c r="B17" s="1" t="s">
        <v>259</v>
      </c>
      <c r="C17" s="1" t="s">
        <v>249</v>
      </c>
    </row>
    <row r="18" spans="1:3" x14ac:dyDescent="0.3">
      <c r="C18" s="1" t="s">
        <v>283</v>
      </c>
    </row>
    <row r="19" spans="1:3" x14ac:dyDescent="0.3">
      <c r="C19" s="1" t="s">
        <v>260</v>
      </c>
    </row>
    <row r="20" spans="1:3" x14ac:dyDescent="0.3">
      <c r="C20" s="1" t="s">
        <v>284</v>
      </c>
    </row>
    <row r="21" spans="1:3" x14ac:dyDescent="0.3">
      <c r="C21" s="1" t="s">
        <v>261</v>
      </c>
    </row>
    <row r="22" spans="1:3" x14ac:dyDescent="0.3">
      <c r="C22" s="1" t="s">
        <v>262</v>
      </c>
    </row>
    <row r="23" spans="1:3" x14ac:dyDescent="0.3">
      <c r="C23" s="1" t="s">
        <v>263</v>
      </c>
    </row>
    <row r="24" spans="1:3" x14ac:dyDescent="0.3">
      <c r="C24" s="1" t="s">
        <v>257</v>
      </c>
    </row>
    <row r="25" spans="1:3" x14ac:dyDescent="0.3">
      <c r="C25" s="1" t="s">
        <v>264</v>
      </c>
    </row>
    <row r="27" spans="1:3" x14ac:dyDescent="0.3">
      <c r="A27" s="9">
        <v>3</v>
      </c>
      <c r="B27" s="1" t="s">
        <v>266</v>
      </c>
      <c r="C27" s="1" t="s">
        <v>271</v>
      </c>
    </row>
    <row r="28" spans="1:3" x14ac:dyDescent="0.3">
      <c r="C28" s="1" t="s">
        <v>267</v>
      </c>
    </row>
    <row r="29" spans="1:3" x14ac:dyDescent="0.3">
      <c r="C29" s="1" t="s">
        <v>268</v>
      </c>
    </row>
    <row r="30" spans="1:3" x14ac:dyDescent="0.3">
      <c r="C30" s="1" t="s">
        <v>269</v>
      </c>
    </row>
    <row r="31" spans="1:3" x14ac:dyDescent="0.3">
      <c r="C31" s="1" t="s">
        <v>270</v>
      </c>
    </row>
    <row r="32" spans="1:3" x14ac:dyDescent="0.3">
      <c r="C32" s="1" t="s">
        <v>272</v>
      </c>
    </row>
    <row r="33" spans="1:3" x14ac:dyDescent="0.3">
      <c r="C33" s="1" t="s">
        <v>285</v>
      </c>
    </row>
    <row r="34" spans="1:3" x14ac:dyDescent="0.3">
      <c r="C34" s="1" t="s">
        <v>273</v>
      </c>
    </row>
    <row r="36" spans="1:3" x14ac:dyDescent="0.3">
      <c r="A36" s="9">
        <v>4</v>
      </c>
      <c r="B36" s="1" t="s">
        <v>273</v>
      </c>
      <c r="C36" s="1" t="s">
        <v>274</v>
      </c>
    </row>
    <row r="37" spans="1:3" x14ac:dyDescent="0.3">
      <c r="C37" s="1" t="s">
        <v>275</v>
      </c>
    </row>
    <row r="38" spans="1:3" x14ac:dyDescent="0.3">
      <c r="C38" s="1" t="s">
        <v>280</v>
      </c>
    </row>
    <row r="39" spans="1:3" x14ac:dyDescent="0.3">
      <c r="C39" s="1" t="s">
        <v>281</v>
      </c>
    </row>
    <row r="40" spans="1:3" x14ac:dyDescent="0.3">
      <c r="C40" s="1" t="s">
        <v>276</v>
      </c>
    </row>
    <row r="41" spans="1:3" x14ac:dyDescent="0.3">
      <c r="C41" s="1" t="s">
        <v>277</v>
      </c>
    </row>
    <row r="42" spans="1:3" x14ac:dyDescent="0.3">
      <c r="C42" s="1" t="s">
        <v>278</v>
      </c>
    </row>
    <row r="43" spans="1:3" x14ac:dyDescent="0.3">
      <c r="C43" s="1" t="s">
        <v>279</v>
      </c>
    </row>
  </sheetData>
  <mergeCells count="1">
    <mergeCell ref="A1:C1"/>
  </mergeCells>
  <printOptions horizontalCentered="1"/>
  <pageMargins left="0" right="0" top="0.15748031496062992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Incinérables</vt:lpstr>
      <vt:lpstr>Valorisables + spéciaux</vt:lpstr>
      <vt:lpstr>Budget - base</vt:lpstr>
      <vt:lpstr>Calcul de la taxe</vt:lpstr>
      <vt:lpstr>Marche à suivre</vt:lpstr>
      <vt:lpstr>'Budget - base'!Zone_d_impression</vt:lpstr>
      <vt:lpstr>'Calcul de la taxe'!Zone_d_impression</vt:lpstr>
      <vt:lpstr>Incinérables!Zone_d_impression</vt:lpstr>
      <vt:lpstr>'Marche à suivre'!Zone_d_impression</vt:lpstr>
      <vt:lpstr>'Valorisables + spéciaux'!Zone_d_impression</vt:lpstr>
    </vt:vector>
  </TitlesOfParts>
  <Company>Commune de Trelex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</dc:creator>
  <cp:lastModifiedBy>gc</cp:lastModifiedBy>
  <cp:lastPrinted>2017-01-09T08:06:19Z</cp:lastPrinted>
  <dcterms:created xsi:type="dcterms:W3CDTF">2016-11-28T15:38:41Z</dcterms:created>
  <dcterms:modified xsi:type="dcterms:W3CDTF">2017-01-09T08:50:01Z</dcterms:modified>
</cp:coreProperties>
</file>