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L:\Doc sur site\"/>
    </mc:Choice>
  </mc:AlternateContent>
  <bookViews>
    <workbookView xWindow="-108" yWindow="-108" windowWidth="23256" windowHeight="12456" tabRatio="802"/>
  </bookViews>
  <sheets>
    <sheet name="Résultat Péréquation" sheetId="13" r:id="rId1"/>
    <sheet name="Données" sheetId="12" r:id="rId2"/>
    <sheet name="Dépenses thématiques" sheetId="27" r:id="rId3"/>
    <sheet name="Fiches calcul " sheetId="7" r:id="rId4"/>
    <sheet name="Paramètres" sheetId="25" state="hidden" r:id="rId5"/>
  </sheets>
  <externalReferences>
    <externalReference r:id="rId6"/>
    <externalReference r:id="rId7"/>
    <externalReference r:id="rId8"/>
  </externalReferences>
  <definedNames>
    <definedName name="annee1">#REF!</definedName>
    <definedName name="annee10">#REF!</definedName>
    <definedName name="annee2">#REF!</definedName>
    <definedName name="annee3">#REF!</definedName>
    <definedName name="annee4">#REF!</definedName>
    <definedName name="annee5">#REF!</definedName>
    <definedName name="annee6">#REF!</definedName>
    <definedName name="annee7">#REF!</definedName>
    <definedName name="annee8">#REF!</definedName>
    <definedName name="annee9">#REF!</definedName>
    <definedName name="_xlnm.Database">'[1]à c.t.'!#REF!</definedName>
    <definedName name="_xlnm.Criteria">'[1]à c.t.'!#REF!</definedName>
    <definedName name="ind">2</definedName>
    <definedName name="MessageCapital">#REF!</definedName>
    <definedName name="MessageEN">#REF!</definedName>
    <definedName name="MessageImmob">#REF!</definedName>
    <definedName name="MessageOK">#REF!</definedName>
    <definedName name="MessageRéserves">#REF!</definedName>
    <definedName name="TotalInterets">'[2]Charges nature'!$D$32</definedName>
    <definedName name="_xlnm.Print_Area" localSheetId="1">Données!$A$1:$F$78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4" i="12" l="1"/>
  <c r="C25" i="27" l="1"/>
  <c r="C26" i="27"/>
  <c r="E128" i="27"/>
  <c r="E125" i="27"/>
  <c r="C124" i="27"/>
  <c r="C121" i="27"/>
  <c r="E120" i="27"/>
  <c r="E78" i="27"/>
  <c r="C78" i="27"/>
  <c r="E39" i="27"/>
  <c r="C39" i="27"/>
  <c r="E28" i="27"/>
  <c r="E19" i="27"/>
  <c r="B12" i="27"/>
  <c r="F11" i="27"/>
  <c r="E11" i="27"/>
  <c r="C79" i="27" l="1"/>
  <c r="B79" i="27" s="1"/>
  <c r="E132" i="27"/>
  <c r="C123" i="27"/>
  <c r="C120" i="27" s="1"/>
  <c r="C23" i="27"/>
  <c r="E42" i="27"/>
  <c r="C27" i="27" l="1"/>
  <c r="C22" i="27"/>
  <c r="I67" i="7" l="1"/>
  <c r="H67" i="7"/>
  <c r="G67" i="7"/>
  <c r="F67" i="7"/>
  <c r="E67" i="7"/>
  <c r="D67" i="7"/>
  <c r="C67" i="7"/>
  <c r="L72" i="7" l="1"/>
  <c r="L73" i="7" s="1"/>
  <c r="C125" i="27" l="1"/>
  <c r="C128" i="27" l="1"/>
  <c r="C132" i="27" s="1"/>
  <c r="C28" i="27"/>
  <c r="N3" i="7" l="1"/>
  <c r="C133" i="27"/>
  <c r="B133" i="27" s="1"/>
  <c r="C20" i="27"/>
  <c r="C99" i="27" l="1"/>
  <c r="B99" i="27" s="1"/>
  <c r="B13" i="7" l="1"/>
  <c r="D18" i="12" s="1"/>
  <c r="I48" i="7" l="1"/>
  <c r="A2" i="7" l="1"/>
  <c r="B56" i="13" l="1"/>
  <c r="B55" i="13"/>
  <c r="B78" i="12"/>
  <c r="I47" i="7"/>
  <c r="B57" i="13" l="1"/>
  <c r="B21" i="7" l="1"/>
  <c r="D28" i="12" s="1"/>
  <c r="A45" i="13"/>
  <c r="B45" i="13"/>
  <c r="B19" i="7"/>
  <c r="D24" i="12" s="1"/>
  <c r="B41" i="13"/>
  <c r="B67" i="12"/>
  <c r="L77" i="7"/>
  <c r="G82" i="7"/>
  <c r="B43" i="13"/>
  <c r="B42" i="13"/>
  <c r="A50" i="13"/>
  <c r="A51" i="13"/>
  <c r="A49" i="13"/>
  <c r="A42" i="13"/>
  <c r="A43" i="13"/>
  <c r="A44" i="13"/>
  <c r="A40" i="13"/>
  <c r="B57" i="12"/>
  <c r="B50" i="13"/>
  <c r="B51" i="13"/>
  <c r="B49" i="13"/>
  <c r="B44" i="13"/>
  <c r="B40" i="13"/>
  <c r="B73" i="12"/>
  <c r="D34" i="12"/>
  <c r="B30" i="7" s="1"/>
  <c r="E30" i="7" s="1"/>
  <c r="D33" i="12"/>
  <c r="B29" i="7" s="1"/>
  <c r="E29" i="7" s="1"/>
  <c r="D32" i="12"/>
  <c r="B28" i="7" s="1"/>
  <c r="E28" i="7" s="1"/>
  <c r="D31" i="12"/>
  <c r="B27" i="7" s="1"/>
  <c r="E27" i="7" s="1"/>
  <c r="B22" i="7"/>
  <c r="D29" i="12" s="1"/>
  <c r="B20" i="7"/>
  <c r="D27" i="12" s="1"/>
  <c r="B17" i="7"/>
  <c r="C17" i="7" s="1"/>
  <c r="B16" i="7"/>
  <c r="D21" i="12" s="1"/>
  <c r="B15" i="7"/>
  <c r="C15" i="7" s="1"/>
  <c r="B10" i="7"/>
  <c r="C10" i="7" s="1"/>
  <c r="B9" i="7"/>
  <c r="D14" i="12" s="1"/>
  <c r="B5" i="7"/>
  <c r="B18" i="7" s="1"/>
  <c r="C18" i="7" s="1"/>
  <c r="B4" i="7"/>
  <c r="C13" i="7" s="1"/>
  <c r="B3" i="7"/>
  <c r="J48" i="7" s="1"/>
  <c r="C50" i="7"/>
  <c r="B35" i="7"/>
  <c r="B36" i="7"/>
  <c r="C1" i="13"/>
  <c r="A1" i="13"/>
  <c r="B39" i="7"/>
  <c r="B68" i="7" l="1"/>
  <c r="D68" i="7" s="1"/>
  <c r="D69" i="7" s="1"/>
  <c r="D22" i="12"/>
  <c r="L54" i="7"/>
  <c r="C54" i="7"/>
  <c r="C22" i="7"/>
  <c r="D20" i="12"/>
  <c r="B52" i="13"/>
  <c r="B46" i="13"/>
  <c r="C21" i="7"/>
  <c r="C9" i="7"/>
  <c r="D15" i="12"/>
  <c r="B7" i="7"/>
  <c r="D12" i="12" s="1"/>
  <c r="C17" i="13"/>
  <c r="C50" i="13" s="1"/>
  <c r="D50" i="13" s="1"/>
  <c r="B33" i="7"/>
  <c r="C20" i="7"/>
  <c r="C19" i="7"/>
  <c r="C16" i="7"/>
  <c r="D23" i="12"/>
  <c r="B12" i="7"/>
  <c r="B8" i="7"/>
  <c r="B11" i="7"/>
  <c r="B14" i="7"/>
  <c r="L71" i="7"/>
  <c r="L74" i="7" s="1"/>
  <c r="E54" i="7"/>
  <c r="C33" i="13"/>
  <c r="G54" i="7"/>
  <c r="I54" i="7"/>
  <c r="B60" i="13" l="1"/>
  <c r="E68" i="7"/>
  <c r="E69" i="7" s="1"/>
  <c r="H68" i="7"/>
  <c r="H69" i="7" s="1"/>
  <c r="G68" i="7"/>
  <c r="G69" i="7" s="1"/>
  <c r="C68" i="7"/>
  <c r="C69" i="7" s="1"/>
  <c r="F68" i="7"/>
  <c r="F69" i="7" s="1"/>
  <c r="I68" i="7"/>
  <c r="I69" i="7" s="1"/>
  <c r="C7" i="7"/>
  <c r="D13" i="12"/>
  <c r="C8" i="7"/>
  <c r="C12" i="7"/>
  <c r="D17" i="12"/>
  <c r="C14" i="7"/>
  <c r="D19" i="12"/>
  <c r="B25" i="7"/>
  <c r="B44" i="7" s="1"/>
  <c r="D16" i="12"/>
  <c r="C11" i="7"/>
  <c r="I50" i="7" l="1"/>
  <c r="D36" i="12"/>
  <c r="J68" i="7"/>
  <c r="H38" i="7" s="1"/>
  <c r="H44" i="7" s="1"/>
  <c r="C5" i="13" s="1"/>
  <c r="C42" i="13" s="1"/>
  <c r="D42" i="13" s="1"/>
  <c r="C44" i="7"/>
  <c r="C25" i="7"/>
  <c r="G76" i="7" l="1"/>
  <c r="I51" i="7"/>
  <c r="J51" i="7" s="1"/>
  <c r="C25" i="13" s="1"/>
  <c r="C47" i="7"/>
  <c r="I49" i="7" l="1"/>
  <c r="G73" i="7"/>
  <c r="F36" i="7"/>
  <c r="E35" i="7"/>
  <c r="N8" i="7"/>
  <c r="N4" i="7"/>
  <c r="B31" i="13"/>
  <c r="C55" i="13"/>
  <c r="D55" i="13" s="1"/>
  <c r="C49" i="7"/>
  <c r="G38" i="7" s="1"/>
  <c r="I58" i="7" l="1"/>
  <c r="C58" i="7"/>
  <c r="F58" i="7"/>
  <c r="H58" i="7"/>
  <c r="E58" i="7"/>
  <c r="G58" i="7"/>
  <c r="J58" i="7"/>
  <c r="B58" i="7"/>
  <c r="C31" i="13"/>
  <c r="L58" i="7"/>
  <c r="D58" i="7"/>
  <c r="M58" i="7" l="1"/>
  <c r="D23" i="7" s="1"/>
  <c r="D25" i="7" l="1"/>
  <c r="D47" i="7" s="1"/>
  <c r="E23" i="7"/>
  <c r="E44" i="7" s="1"/>
  <c r="N5" i="7" l="1"/>
  <c r="N14" i="7" s="1"/>
  <c r="D44" i="7"/>
  <c r="C16" i="13"/>
  <c r="C49" i="13" s="1"/>
  <c r="D49" i="13" s="1"/>
  <c r="C26" i="13"/>
  <c r="C56" i="13" s="1"/>
  <c r="D56" i="13" s="1"/>
  <c r="D57" i="13" s="1"/>
  <c r="F44" i="7"/>
  <c r="G74" i="7" s="1"/>
  <c r="C11" i="13" l="1"/>
  <c r="C44" i="13" s="1"/>
  <c r="D44" i="13" s="1"/>
  <c r="C28" i="13"/>
  <c r="C57" i="13"/>
  <c r="C3" i="13"/>
  <c r="C40" i="13" s="1"/>
  <c r="D40" i="13" s="1"/>
  <c r="G44" i="7"/>
  <c r="C74" i="7" s="1"/>
  <c r="C75" i="7" s="1"/>
  <c r="C18" i="13" l="1"/>
  <c r="C6" i="13"/>
  <c r="C43" i="13" s="1"/>
  <c r="D43" i="13" s="1"/>
  <c r="G75" i="7"/>
  <c r="G49" i="7"/>
  <c r="G71" i="7" l="1"/>
  <c r="G72" i="7" s="1"/>
  <c r="C71" i="7"/>
  <c r="C72" i="7" s="1"/>
  <c r="C51" i="13"/>
  <c r="C19" i="13"/>
  <c r="C77" i="7" l="1"/>
  <c r="C79" i="7" s="1"/>
  <c r="D51" i="13"/>
  <c r="D52" i="13" s="1"/>
  <c r="C52" i="13"/>
  <c r="I36" i="7" l="1"/>
  <c r="I44" i="7" s="1"/>
  <c r="C7" i="13" s="1"/>
  <c r="C24" i="27" l="1"/>
  <c r="C19" i="27" s="1"/>
  <c r="C42" i="27" s="1"/>
  <c r="N7" i="7" s="1"/>
  <c r="C43" i="27" l="1"/>
  <c r="B43" i="27" s="1"/>
  <c r="N9" i="7" l="1"/>
  <c r="N15" i="7" s="1"/>
  <c r="C12" i="13" s="1"/>
  <c r="C13" i="13" s="1"/>
  <c r="C45" i="13" l="1"/>
  <c r="D45" i="13" s="1"/>
  <c r="G77" i="7"/>
  <c r="G78" i="7" s="1"/>
  <c r="G79" i="7" s="1"/>
  <c r="G81" i="7" s="1"/>
  <c r="G83" i="7" l="1"/>
  <c r="L75" i="7"/>
  <c r="G80" i="7"/>
  <c r="J38" i="7" l="1"/>
  <c r="J44" i="7" s="1"/>
  <c r="C8" i="13" s="1"/>
  <c r="L76" i="7" l="1"/>
  <c r="L78" i="7" s="1"/>
  <c r="L38" i="7" l="1"/>
  <c r="L44" i="7" s="1"/>
  <c r="C9" i="13" s="1"/>
  <c r="C41" i="13" s="1"/>
  <c r="C10" i="13" l="1"/>
  <c r="C14" i="13" s="1"/>
  <c r="C21" i="13" s="1"/>
  <c r="D41" i="13"/>
  <c r="D46" i="13" s="1"/>
  <c r="D60" i="13" s="1"/>
  <c r="C46" i="13"/>
  <c r="C60" i="13" s="1"/>
  <c r="D37" i="12" s="1"/>
  <c r="D39" i="12" s="1"/>
  <c r="D41" i="12" s="1"/>
</calcChain>
</file>

<file path=xl/sharedStrings.xml><?xml version="1.0" encoding="utf-8"?>
<sst xmlns="http://schemas.openxmlformats.org/spreadsheetml/2006/main" count="1024" uniqueCount="615">
  <si>
    <t>3. Transports scolaires</t>
  </si>
  <si>
    <t>4. Forêts</t>
  </si>
  <si>
    <t>A déduire</t>
  </si>
  <si>
    <t>Nature des charges</t>
  </si>
  <si>
    <t>Charges admises</t>
  </si>
  <si>
    <t>Périmètre concerné</t>
  </si>
  <si>
    <t>Charges non admises</t>
  </si>
  <si>
    <t>1. Routes et infrastructures</t>
  </si>
  <si>
    <t xml:space="preserve">Date : </t>
  </si>
  <si>
    <t xml:space="preserve"> </t>
  </si>
  <si>
    <t>Rendement communal
du point</t>
  </si>
  <si>
    <t>Taux déterminant pour le calcul</t>
  </si>
  <si>
    <t>Impôt sur le revenu PP</t>
  </si>
  <si>
    <t>Impôt sur la fortune PP</t>
  </si>
  <si>
    <t>Impôt spécial affecté</t>
  </si>
  <si>
    <t>Impôt personnel fixe</t>
  </si>
  <si>
    <t>Impôt sur le bénéfice PM</t>
  </si>
  <si>
    <t>Impôt sur le capital PM</t>
  </si>
  <si>
    <t>Impôt sur la dépense (anc. Spécial étranger)</t>
  </si>
  <si>
    <t>Impôt à la source</t>
  </si>
  <si>
    <t>Impôt complémentaire sur immeubles PM</t>
  </si>
  <si>
    <t>./. Remb. impôt compl. sur immeubles PM</t>
  </si>
  <si>
    <t>Impôt foncier</t>
  </si>
  <si>
    <t>Sous-total impôts</t>
  </si>
  <si>
    <t>Impôt sur les frontaliers</t>
  </si>
  <si>
    <t>Impôt sur les successions et donations</t>
  </si>
  <si>
    <t>Droits de mutation</t>
  </si>
  <si>
    <t>Impôt sur les gains immobiliers</t>
  </si>
  <si>
    <t>Total des impôts</t>
  </si>
  <si>
    <t>Total des escomptes accordés</t>
  </si>
  <si>
    <t>Pertes sur débiteurs (défalcations/remises)</t>
  </si>
  <si>
    <t>Total</t>
  </si>
  <si>
    <t>Valeur du point d'impôt</t>
  </si>
  <si>
    <t>Sous-total</t>
  </si>
  <si>
    <t>Charges de fonctionnement</t>
  </si>
  <si>
    <t>Taux impôt foncier</t>
  </si>
  <si>
    <t>Nbre d'habitant</t>
  </si>
  <si>
    <t>Moyenne cantonale</t>
  </si>
  <si>
    <t>Ecrétâge</t>
  </si>
  <si>
    <t>en % de la moyenne</t>
  </si>
  <si>
    <t>Seuil 0</t>
  </si>
  <si>
    <t>Seuil 1</t>
  </si>
  <si>
    <t>Seuil 2</t>
  </si>
  <si>
    <t>Seuil 3</t>
  </si>
  <si>
    <t>Calcul pour écrétâge</t>
  </si>
  <si>
    <t>Montant écrété (calcul ci-dessous)</t>
  </si>
  <si>
    <t>Impôts frontaliers</t>
  </si>
  <si>
    <t>Droits mutation</t>
  </si>
  <si>
    <t>Gains immobiliers</t>
  </si>
  <si>
    <t>Successions, donation</t>
  </si>
  <si>
    <t>Facture sociale</t>
  </si>
  <si>
    <t>Nbre point impôts facture sociale</t>
  </si>
  <si>
    <t>Couche solidarité</t>
  </si>
  <si>
    <t>Couche population</t>
  </si>
  <si>
    <t>Bas</t>
  </si>
  <si>
    <t>Haut</t>
  </si>
  <si>
    <t>Population</t>
  </si>
  <si>
    <t>Montant</t>
  </si>
  <si>
    <t>à recevoir</t>
  </si>
  <si>
    <t>Calcul couche population</t>
  </si>
  <si>
    <t>Péréquation directe : Nbre point</t>
  </si>
  <si>
    <t>Plafonnement effort</t>
  </si>
  <si>
    <t>Retour de la péréquation</t>
  </si>
  <si>
    <t>Plafonnement aide</t>
  </si>
  <si>
    <t>Alimentation péréquation</t>
  </si>
  <si>
    <t>Alimen. Péréquation</t>
  </si>
  <si>
    <t>./. Couche solidarité</t>
  </si>
  <si>
    <t>./. Couche population</t>
  </si>
  <si>
    <t xml:space="preserve">Plafonnement max. </t>
  </si>
  <si>
    <t>Résultat</t>
  </si>
  <si>
    <t>Routes</t>
  </si>
  <si>
    <t>Forêts</t>
  </si>
  <si>
    <t>Total effort</t>
  </si>
  <si>
    <t>Plafonnement max.</t>
  </si>
  <si>
    <t xml:space="preserve">Plafond taux </t>
  </si>
  <si>
    <t>pts</t>
  </si>
  <si>
    <t>Plafonnement du taux</t>
  </si>
  <si>
    <t>Dépenses thématiques</t>
  </si>
  <si>
    <t>Total péréquation</t>
  </si>
  <si>
    <t>Taux d'impôt</t>
  </si>
  <si>
    <t>Solde péréquation n-1</t>
  </si>
  <si>
    <t>Taux n-1 sans péréq.</t>
  </si>
  <si>
    <t>Décompte péréquation</t>
  </si>
  <si>
    <t>Retour sur péréquation</t>
  </si>
  <si>
    <t>Plafonnement taux</t>
  </si>
  <si>
    <t>Total péréquation directe</t>
  </si>
  <si>
    <t>Forets</t>
  </si>
  <si>
    <t xml:space="preserve"> ./. 1 pts</t>
  </si>
  <si>
    <t>Taux couverture - Dépenses thématiques</t>
  </si>
  <si>
    <t>Total forêts</t>
  </si>
  <si>
    <t xml:space="preserve"> ./. 8 pts</t>
  </si>
  <si>
    <t>Total routes</t>
  </si>
  <si>
    <t>Impôts conjoncturels</t>
  </si>
  <si>
    <t>Total de la facture sociale</t>
  </si>
  <si>
    <t>Pour information</t>
  </si>
  <si>
    <t>par habitant</t>
  </si>
  <si>
    <t>Péréquation</t>
  </si>
  <si>
    <t xml:space="preserve"> + pts d'impôts</t>
  </si>
  <si>
    <t>Taux communal moyen</t>
  </si>
  <si>
    <t>Valeur point écrêté - moyenne cantonale</t>
  </si>
  <si>
    <t>Valeur point d'impôts - moyenne cantonale</t>
  </si>
  <si>
    <t>Moyenne cantonale - pt d'impôt</t>
  </si>
  <si>
    <t>Moyenne cantonale - pt d'impôt écrêté</t>
  </si>
  <si>
    <t>Valeur point d'impôts - commune</t>
  </si>
  <si>
    <t>Valeur point d'impôt écrété - commune</t>
  </si>
  <si>
    <t>Total Dépenses thématiques</t>
  </si>
  <si>
    <t>Valeur point d'impôts / hab</t>
  </si>
  <si>
    <t>Valeur point d'impôts</t>
  </si>
  <si>
    <t>Partication péréquation</t>
  </si>
  <si>
    <t>Péréquation directe</t>
  </si>
  <si>
    <t>Solde net péréquation (y compris facture sociale)</t>
  </si>
  <si>
    <t>Résultat péréquation directe</t>
  </si>
  <si>
    <t xml:space="preserve">Partie en </t>
  </si>
  <si>
    <t>à compléter (chiffres communaux)</t>
  </si>
  <si>
    <t>à compléter (chiffres du Canton)</t>
  </si>
  <si>
    <t>Simulation</t>
  </si>
  <si>
    <t>Taux d'impôts</t>
  </si>
  <si>
    <t>Taux d'impôts appliqué</t>
  </si>
  <si>
    <t>Taux impôt foncier appliqué</t>
  </si>
  <si>
    <t>à compléter pour faire une simulation (taux d'impôts, variation population)</t>
  </si>
  <si>
    <t>Différence</t>
  </si>
  <si>
    <t>Alimentation en points d'impôts</t>
  </si>
  <si>
    <t>Ecrêtage</t>
  </si>
  <si>
    <t>Factures reçues</t>
  </si>
  <si>
    <t>Correction par transitoire</t>
  </si>
  <si>
    <t>Effort péréquatif</t>
  </si>
  <si>
    <t>Acomptes péréquation</t>
  </si>
  <si>
    <t>Estimations</t>
  </si>
  <si>
    <t>Résultat péréquation selon acomptes</t>
  </si>
  <si>
    <t>Résulat péréquation selon acomptes</t>
  </si>
  <si>
    <t>Différence Acomptes/Estimations comptes</t>
  </si>
  <si>
    <t>./. Retour couche population</t>
  </si>
  <si>
    <t>./. Dépenses thématiques forêts</t>
  </si>
  <si>
    <t>./. Dépenses thématiques route</t>
  </si>
  <si>
    <t>./. Pertes sur débiteurs (défalcations/remises)</t>
  </si>
  <si>
    <t>./. Imputation forfaitaire</t>
  </si>
  <si>
    <t>Plafonnement de l'aide</t>
  </si>
  <si>
    <t>./. Dépenses thématiques</t>
  </si>
  <si>
    <t>./. Plafonnement effort</t>
  </si>
  <si>
    <t>./. Plafonnement du taux</t>
  </si>
  <si>
    <t>./. Plafonnement taux, Plafonnement effort</t>
  </si>
  <si>
    <t>Nbre point fact. Soc</t>
  </si>
  <si>
    <t>Nbre point péréq.</t>
  </si>
  <si>
    <t>./. Dép. thématiques</t>
  </si>
  <si>
    <t>Différences différents plafonds</t>
  </si>
  <si>
    <t>Impôts récupérés après défalcation</t>
  </si>
  <si>
    <t>Impôts récupérés après défalcation - PP</t>
  </si>
  <si>
    <t>Impôts récupérés après défalcation - PM</t>
  </si>
  <si>
    <t>Impôts récupérés après défalcation - IS</t>
  </si>
  <si>
    <t>./. Modifications taxations antérieures</t>
  </si>
  <si>
    <t>Imputation forfaitaire</t>
  </si>
  <si>
    <t>Modifications taxations antérieures</t>
  </si>
  <si>
    <t>Taux prise en compte écrétage</t>
  </si>
  <si>
    <t>Nbre point péréq. Direct</t>
  </si>
  <si>
    <t>Réforme Policière</t>
  </si>
  <si>
    <t>Charges pour commune sans police</t>
  </si>
  <si>
    <t>Répartition du solde</t>
  </si>
  <si>
    <t>Réforme policière</t>
  </si>
  <si>
    <t>Nbre point à couvrir par la péréquation</t>
  </si>
  <si>
    <t>VD</t>
  </si>
  <si>
    <t>Commune</t>
  </si>
  <si>
    <t>Taux réparition solde</t>
  </si>
  <si>
    <t>Solde Police</t>
  </si>
  <si>
    <t>Total de la Réforme policière</t>
  </si>
  <si>
    <t>Impots suivant le taux</t>
  </si>
  <si>
    <t>Solde total "péréquation"</t>
  </si>
  <si>
    <t>Correction totale
Péréquation</t>
  </si>
  <si>
    <t xml:space="preserve">Correction par transitoire </t>
  </si>
  <si>
    <r>
      <t xml:space="preserve">Police </t>
    </r>
    <r>
      <rPr>
        <b/>
        <sz val="9"/>
        <color rgb="FFFF0000"/>
        <rFont val="Tahoma"/>
        <family val="2"/>
      </rPr>
      <t>(VD ou Commune)</t>
    </r>
  </si>
  <si>
    <t>Soit par pts</t>
  </si>
  <si>
    <t>Coût réel / hab</t>
  </si>
  <si>
    <t>Coût réel / habitant</t>
  </si>
  <si>
    <t>Evolution des impôts</t>
  </si>
  <si>
    <t>Péréquation avec nouveau taux</t>
  </si>
  <si>
    <t>Evaluation avec ancien taux</t>
  </si>
  <si>
    <t>Différence péréquation 
+ réforme policière</t>
  </si>
  <si>
    <t>Evolution des "recettes"</t>
  </si>
  <si>
    <t>abandonné en 2019</t>
  </si>
  <si>
    <t>Indications pour remplir le questionnaire</t>
  </si>
  <si>
    <t>District</t>
  </si>
  <si>
    <t>No OFS</t>
  </si>
  <si>
    <t>- Charges de personnel</t>
  </si>
  <si>
    <t>- Travaux d'entretien courant</t>
  </si>
  <si>
    <t>- Gestion des déchets routiers (curages)</t>
  </si>
  <si>
    <t>- Recettes liées à l'exploitation des routes</t>
  </si>
  <si>
    <t>- Compagnies de navigation</t>
  </si>
  <si>
    <t>Le(la) Syndic(que) ou le (la) Boursier(ière) :</t>
  </si>
  <si>
    <t>Seuil 4</t>
  </si>
  <si>
    <t>Sainte-Croix</t>
  </si>
  <si>
    <t>Lussy-sur-Morges</t>
  </si>
  <si>
    <t>Aigle</t>
  </si>
  <si>
    <t>Bex</t>
  </si>
  <si>
    <t>Chessel</t>
  </si>
  <si>
    <t>Corbeyrier</t>
  </si>
  <si>
    <t>Gryon</t>
  </si>
  <si>
    <t>Lavey-Morcles</t>
  </si>
  <si>
    <t>Leysin</t>
  </si>
  <si>
    <t>Noville</t>
  </si>
  <si>
    <t>Ollon</t>
  </si>
  <si>
    <t>Ormont-Dessous</t>
  </si>
  <si>
    <t>Ormont-Dessus</t>
  </si>
  <si>
    <t>Rennaz</t>
  </si>
  <si>
    <t>Roche</t>
  </si>
  <si>
    <t>Villeneuve</t>
  </si>
  <si>
    <t>Yvorne</t>
  </si>
  <si>
    <t>Apples</t>
  </si>
  <si>
    <t>Aubonne</t>
  </si>
  <si>
    <t>Ballens</t>
  </si>
  <si>
    <t>Berolle</t>
  </si>
  <si>
    <t>Bière</t>
  </si>
  <si>
    <t>Bougy-Villars</t>
  </si>
  <si>
    <t>Féchy</t>
  </si>
  <si>
    <t>Gimel</t>
  </si>
  <si>
    <t>Longirod</t>
  </si>
  <si>
    <t>Marchissy</t>
  </si>
  <si>
    <t>Mollens</t>
  </si>
  <si>
    <t>Montherod</t>
  </si>
  <si>
    <t>Saint-George</t>
  </si>
  <si>
    <t>Saint-Livres</t>
  </si>
  <si>
    <t>Saint-Oyens</t>
  </si>
  <si>
    <t>Saubraz</t>
  </si>
  <si>
    <t>Avenches</t>
  </si>
  <si>
    <t>Cudrefin</t>
  </si>
  <si>
    <t>Faoug</t>
  </si>
  <si>
    <t>Vully-les-Lacs</t>
  </si>
  <si>
    <t>Bettens</t>
  </si>
  <si>
    <t>Bournens</t>
  </si>
  <si>
    <t>Boussens</t>
  </si>
  <si>
    <t>La Chaux (Cossonay)</t>
  </si>
  <si>
    <t>Chavannes-le-Veyron</t>
  </si>
  <si>
    <t>Chevilly</t>
  </si>
  <si>
    <t>Cossonay</t>
  </si>
  <si>
    <t>Cottens</t>
  </si>
  <si>
    <t>Cuarnens</t>
  </si>
  <si>
    <t>Daillens</t>
  </si>
  <si>
    <t>Dizy</t>
  </si>
  <si>
    <t>Eclépens</t>
  </si>
  <si>
    <t>Ferreyres</t>
  </si>
  <si>
    <t>Gollion</t>
  </si>
  <si>
    <t>Grancy</t>
  </si>
  <si>
    <t>L'Isle</t>
  </si>
  <si>
    <t>Lussery-Villars</t>
  </si>
  <si>
    <t>Mauraz</t>
  </si>
  <si>
    <t>Mex</t>
  </si>
  <si>
    <t>Moiry</t>
  </si>
  <si>
    <t>Mont-la-Ville</t>
  </si>
  <si>
    <t>Montricher</t>
  </si>
  <si>
    <t>Orny</t>
  </si>
  <si>
    <t>Pampigny</t>
  </si>
  <si>
    <t>Penthalaz</t>
  </si>
  <si>
    <t>Penthaz</t>
  </si>
  <si>
    <t>Pompaples</t>
  </si>
  <si>
    <t>La Sarraz</t>
  </si>
  <si>
    <t>Senarclens</t>
  </si>
  <si>
    <t>Sévery</t>
  </si>
  <si>
    <t>Sullens</t>
  </si>
  <si>
    <t>Vufflens-la-Ville</t>
  </si>
  <si>
    <t>Assens</t>
  </si>
  <si>
    <t>Bercher</t>
  </si>
  <si>
    <t>Bioley-Orjulaz</t>
  </si>
  <si>
    <t>Bottens</t>
  </si>
  <si>
    <t>Bretigny-sur-Morrens</t>
  </si>
  <si>
    <t>Cugy</t>
  </si>
  <si>
    <t>Echallens</t>
  </si>
  <si>
    <t>Essertines-sur-Yverdon</t>
  </si>
  <si>
    <t>Etagnières</t>
  </si>
  <si>
    <t>Fey</t>
  </si>
  <si>
    <t>Froideville</t>
  </si>
  <si>
    <t>Morrens</t>
  </si>
  <si>
    <t>Oulens-sous-Echallens</t>
  </si>
  <si>
    <t>Pailly</t>
  </si>
  <si>
    <t>Penthéréaz</t>
  </si>
  <si>
    <t>Poliez-Pittet</t>
  </si>
  <si>
    <t>Rueyres</t>
  </si>
  <si>
    <t>Saint-Barthélemy</t>
  </si>
  <si>
    <t>Villars-le-Terroir</t>
  </si>
  <si>
    <t>Vuarrens</t>
  </si>
  <si>
    <t>Montilliez</t>
  </si>
  <si>
    <t>Goumoëns</t>
  </si>
  <si>
    <t>Bonvillars</t>
  </si>
  <si>
    <t>Bullet</t>
  </si>
  <si>
    <t>Champagne</t>
  </si>
  <si>
    <t>Concise</t>
  </si>
  <si>
    <t>Corcelles-près-Concise</t>
  </si>
  <si>
    <t>Fiez</t>
  </si>
  <si>
    <t>Fontaines-sur-Grandson</t>
  </si>
  <si>
    <t>Giez</t>
  </si>
  <si>
    <t>Grandevent</t>
  </si>
  <si>
    <t>Grandson</t>
  </si>
  <si>
    <t>Mauborget</t>
  </si>
  <si>
    <t>Mutrux</t>
  </si>
  <si>
    <t>Novalles</t>
  </si>
  <si>
    <t>Onnens</t>
  </si>
  <si>
    <t>Provence</t>
  </si>
  <si>
    <t>Tévenon</t>
  </si>
  <si>
    <t>Belmont-sur-Lausanne</t>
  </si>
  <si>
    <t>Cheseaux-sur-Lausanne</t>
  </si>
  <si>
    <t>Crissier</t>
  </si>
  <si>
    <t>Epalinges</t>
  </si>
  <si>
    <t>Jouxtens-Mézery</t>
  </si>
  <si>
    <t>Lausanne</t>
  </si>
  <si>
    <t>Le Mont-sur-Lausanne</t>
  </si>
  <si>
    <t>Paudex</t>
  </si>
  <si>
    <t>Prilly</t>
  </si>
  <si>
    <t>Pully</t>
  </si>
  <si>
    <t>Renens</t>
  </si>
  <si>
    <t>Romanel-sur-Lausanne</t>
  </si>
  <si>
    <t>Chexbres</t>
  </si>
  <si>
    <t>Forel (Lavaux)</t>
  </si>
  <si>
    <t>Lutry</t>
  </si>
  <si>
    <t>Puidoux</t>
  </si>
  <si>
    <t>Rivaz</t>
  </si>
  <si>
    <t>Savigny</t>
  </si>
  <si>
    <t>Bourg-en-Lavaux</t>
  </si>
  <si>
    <t>Aclens</t>
  </si>
  <si>
    <t>Bremblens</t>
  </si>
  <si>
    <t>Buchillon</t>
  </si>
  <si>
    <t>Bussigny</t>
  </si>
  <si>
    <t>Bussy-Chardonney</t>
  </si>
  <si>
    <t>Chavannes-près-Renens</t>
  </si>
  <si>
    <t>Chigny</t>
  </si>
  <si>
    <t>Clarmont</t>
  </si>
  <si>
    <t>Denens</t>
  </si>
  <si>
    <t>Denges</t>
  </si>
  <si>
    <t>Echandens</t>
  </si>
  <si>
    <t>Echichens</t>
  </si>
  <si>
    <t>Ecublens</t>
  </si>
  <si>
    <t>Etoy</t>
  </si>
  <si>
    <t>Lavigny</t>
  </si>
  <si>
    <t>Lonay</t>
  </si>
  <si>
    <t>Lully</t>
  </si>
  <si>
    <t>Morges</t>
  </si>
  <si>
    <t>Préverenges</t>
  </si>
  <si>
    <t>Reverolle</t>
  </si>
  <si>
    <t>Romanel-sur-Morges</t>
  </si>
  <si>
    <t>Saint-Prex</t>
  </si>
  <si>
    <t>Saint-Sulpice</t>
  </si>
  <si>
    <t>Tolochenaz</t>
  </si>
  <si>
    <t>Vaux-sur-Morges</t>
  </si>
  <si>
    <t>Villars-Sainte-Croix</t>
  </si>
  <si>
    <t>Villars-sous-Yens</t>
  </si>
  <si>
    <t>Vufflens-le-Château</t>
  </si>
  <si>
    <t>Vullierens</t>
  </si>
  <si>
    <t>Yens</t>
  </si>
  <si>
    <t>Boulens</t>
  </si>
  <si>
    <t>Bussy-sur-Moudon</t>
  </si>
  <si>
    <t>Chavannes-sur-Moudon</t>
  </si>
  <si>
    <t>Curtilles</t>
  </si>
  <si>
    <t>Dompierre</t>
  </si>
  <si>
    <t>Hermenches</t>
  </si>
  <si>
    <t>Lovatens</t>
  </si>
  <si>
    <t>Lucens</t>
  </si>
  <si>
    <t>Moudon</t>
  </si>
  <si>
    <t>Ogens</t>
  </si>
  <si>
    <t>Prévonloup</t>
  </si>
  <si>
    <t>Rossenges</t>
  </si>
  <si>
    <t>Syens</t>
  </si>
  <si>
    <t>Villars-le-Comte</t>
  </si>
  <si>
    <t>Vucherens</t>
  </si>
  <si>
    <t>Montanaire</t>
  </si>
  <si>
    <t>Arnex-sur-Nyon</t>
  </si>
  <si>
    <t>Bassins</t>
  </si>
  <si>
    <t>Begnins</t>
  </si>
  <si>
    <t>Bogis-Bossey</t>
  </si>
  <si>
    <t>Borex</t>
  </si>
  <si>
    <t>Chavannes-de-Bogis</t>
  </si>
  <si>
    <t>Chavannes-des-Bois</t>
  </si>
  <si>
    <t>Chéserex</t>
  </si>
  <si>
    <t>Coinsins</t>
  </si>
  <si>
    <t>Commugny</t>
  </si>
  <si>
    <t>Coppet</t>
  </si>
  <si>
    <t>Crans-près-Céligny</t>
  </si>
  <si>
    <t>Crassier</t>
  </si>
  <si>
    <t>Duillier</t>
  </si>
  <si>
    <t>Eysins</t>
  </si>
  <si>
    <t>Founex</t>
  </si>
  <si>
    <t>Genolier</t>
  </si>
  <si>
    <t>Gingins</t>
  </si>
  <si>
    <t>Givrins</t>
  </si>
  <si>
    <t>Gland</t>
  </si>
  <si>
    <t>Grens</t>
  </si>
  <si>
    <t>Mies</t>
  </si>
  <si>
    <t>Nyon</t>
  </si>
  <si>
    <t>Prangins</t>
  </si>
  <si>
    <t>La Rippe</t>
  </si>
  <si>
    <t>Saint-Cergue</t>
  </si>
  <si>
    <t>Signy-Avenex</t>
  </si>
  <si>
    <t>Tannay</t>
  </si>
  <si>
    <t>Trélex</t>
  </si>
  <si>
    <t>Le Vaud</t>
  </si>
  <si>
    <t>Vich</t>
  </si>
  <si>
    <t>L'Abergement</t>
  </si>
  <si>
    <t>Agiez</t>
  </si>
  <si>
    <t>Arnex-sur-Orbe</t>
  </si>
  <si>
    <t>Ballaigues</t>
  </si>
  <si>
    <t>Baulmes</t>
  </si>
  <si>
    <t>Bavois</t>
  </si>
  <si>
    <t>Bofflens</t>
  </si>
  <si>
    <t>Bretonnières</t>
  </si>
  <si>
    <t>Chavornay</t>
  </si>
  <si>
    <t>Les Clées</t>
  </si>
  <si>
    <t>Croy</t>
  </si>
  <si>
    <t>Juriens</t>
  </si>
  <si>
    <t>Lignerolle</t>
  </si>
  <si>
    <t>Montcherand</t>
  </si>
  <si>
    <t>Orbe</t>
  </si>
  <si>
    <t>La Praz</t>
  </si>
  <si>
    <t>Premier</t>
  </si>
  <si>
    <t>Rances</t>
  </si>
  <si>
    <t>Romainmôtier-Envy</t>
  </si>
  <si>
    <t>Sergey</t>
  </si>
  <si>
    <t>Valeyres-sous-Rances</t>
  </si>
  <si>
    <t>Vallorbe</t>
  </si>
  <si>
    <t>Vaulion</t>
  </si>
  <si>
    <t>Vuiteboeuf</t>
  </si>
  <si>
    <t>Corcelles-le-Jorat</t>
  </si>
  <si>
    <t>Essertes</t>
  </si>
  <si>
    <t>Maracon</t>
  </si>
  <si>
    <t>Montpreveyres</t>
  </si>
  <si>
    <t>Ropraz</t>
  </si>
  <si>
    <t>Servion</t>
  </si>
  <si>
    <t>Vulliens</t>
  </si>
  <si>
    <t>Jorat-Menthue</t>
  </si>
  <si>
    <t>Oron</t>
  </si>
  <si>
    <t>Champtauroz</t>
  </si>
  <si>
    <t>Chevroux</t>
  </si>
  <si>
    <t>Corcelles-près-Payerne</t>
  </si>
  <si>
    <t>Grandcour</t>
  </si>
  <si>
    <t>Henniez</t>
  </si>
  <si>
    <t>Missy</t>
  </si>
  <si>
    <t>Payerne</t>
  </si>
  <si>
    <t>Trey</t>
  </si>
  <si>
    <t>Treytorrens (Payerne)</t>
  </si>
  <si>
    <t>Villarzel</t>
  </si>
  <si>
    <t>Valbroye</t>
  </si>
  <si>
    <t>Château-d'Oex</t>
  </si>
  <si>
    <t>Rossinière</t>
  </si>
  <si>
    <t>Rougemont</t>
  </si>
  <si>
    <t>Allaman</t>
  </si>
  <si>
    <t>Bursinel</t>
  </si>
  <si>
    <t>Bursins</t>
  </si>
  <si>
    <t>Burtigny</t>
  </si>
  <si>
    <t>Dully</t>
  </si>
  <si>
    <t>Essertines-sur-Rolle</t>
  </si>
  <si>
    <t>Gilly</t>
  </si>
  <si>
    <t>Luins</t>
  </si>
  <si>
    <t>Mont-sur-Rolle</t>
  </si>
  <si>
    <t>Perroy</t>
  </si>
  <si>
    <t>Rolle</t>
  </si>
  <si>
    <t>Tartegnin</t>
  </si>
  <si>
    <t>Vinzel</t>
  </si>
  <si>
    <t>L'Abbaye</t>
  </si>
  <si>
    <t>Le Chenit</t>
  </si>
  <si>
    <t>Le Lieu</t>
  </si>
  <si>
    <t>Blonay</t>
  </si>
  <si>
    <t>Chardonne</t>
  </si>
  <si>
    <t>Corseaux</t>
  </si>
  <si>
    <t>Corsier-sur-Vevey</t>
  </si>
  <si>
    <t>Jongny</t>
  </si>
  <si>
    <t>Montreux</t>
  </si>
  <si>
    <t>Saint-Légier-La Chiésaz</t>
  </si>
  <si>
    <t>La Tour-de-Peilz</t>
  </si>
  <si>
    <t>Vevey</t>
  </si>
  <si>
    <t>Veytaux</t>
  </si>
  <si>
    <t>Belmont-sur-Yverdon</t>
  </si>
  <si>
    <t>Bioley-Magnoux</t>
  </si>
  <si>
    <t>Chamblon</t>
  </si>
  <si>
    <t>Champvent</t>
  </si>
  <si>
    <t>Chavannes-le-Chêne</t>
  </si>
  <si>
    <t>Chêne-Pâquier</t>
  </si>
  <si>
    <t>Cheseaux-Noréaz</t>
  </si>
  <si>
    <t>Cronay</t>
  </si>
  <si>
    <t>Cuarny</t>
  </si>
  <si>
    <t>Démoret</t>
  </si>
  <si>
    <t>Donneloye</t>
  </si>
  <si>
    <t>Ependes</t>
  </si>
  <si>
    <t>Mathod</t>
  </si>
  <si>
    <t>Molondin</t>
  </si>
  <si>
    <t>Montagny-près-Yverdon</t>
  </si>
  <si>
    <t>Oppens</t>
  </si>
  <si>
    <t>Orges</t>
  </si>
  <si>
    <t>Orzens</t>
  </si>
  <si>
    <t>Pomy</t>
  </si>
  <si>
    <t>Rovray</t>
  </si>
  <si>
    <t>Suchy</t>
  </si>
  <si>
    <t>Suscévaz</t>
  </si>
  <si>
    <t>Treycovagnes</t>
  </si>
  <si>
    <t>Ursins</t>
  </si>
  <si>
    <t>Valeyres-sous-Montagny</t>
  </si>
  <si>
    <t>Valeyres-sous-Ursins</t>
  </si>
  <si>
    <t>Villars-Epeney</t>
  </si>
  <si>
    <t>Vugelles-La Mothe</t>
  </si>
  <si>
    <t>Yverdon-les-Bains</t>
  </si>
  <si>
    <t>Yvonand</t>
  </si>
  <si>
    <t>./. Retour Population</t>
  </si>
  <si>
    <t>./. Retour solidarité</t>
  </si>
  <si>
    <t>SELECTIONNER COMMUNE</t>
  </si>
  <si>
    <t>AIGLE</t>
  </si>
  <si>
    <t>JURA-NORD VAUDOIS</t>
  </si>
  <si>
    <t>MORGES</t>
  </si>
  <si>
    <t>BROYE-VULLY</t>
  </si>
  <si>
    <t>GROS-DE-VAUD</t>
  </si>
  <si>
    <t>NYON</t>
  </si>
  <si>
    <t>OUEST LAUSANNOIS</t>
  </si>
  <si>
    <t>RIVIERA-PAYS-D'ENHAUT</t>
  </si>
  <si>
    <t>LAVAUX-ORON</t>
  </si>
  <si>
    <t>Sarzens</t>
  </si>
  <si>
    <t>Saint-Saphorin (Lavaux)</t>
  </si>
  <si>
    <t>LAUSANNE</t>
  </si>
  <si>
    <t>Mézières</t>
  </si>
  <si>
    <t>L'Orient (fraction)</t>
  </si>
  <si>
    <t>Les Bioux (fraction)</t>
  </si>
  <si>
    <t>Le Sentier (fraction)</t>
  </si>
  <si>
    <t>Le Brassus (fraction)</t>
  </si>
  <si>
    <t>Forel-sur-Lucens</t>
  </si>
  <si>
    <t>Ferlens</t>
  </si>
  <si>
    <t>Essert-Pittet</t>
  </si>
  <si>
    <t>Cremin</t>
  </si>
  <si>
    <t>Corcelles-sur-Chavornay</t>
  </si>
  <si>
    <t>Chesalles-sur-Moudon</t>
  </si>
  <si>
    <t>Carrouge</t>
  </si>
  <si>
    <t>Brenles</t>
  </si>
  <si>
    <t>Arzier-le Muids</t>
  </si>
  <si>
    <t>Montant base</t>
  </si>
  <si>
    <t>Indice de janvier 2010</t>
  </si>
  <si>
    <t xml:space="preserve">Indice IPC juin de l'année </t>
  </si>
  <si>
    <t>recettes conjoncturelles</t>
  </si>
  <si>
    <t>Effort prévu n-1</t>
  </si>
  <si>
    <t>Effort sans thématiques</t>
  </si>
  <si>
    <t>Taux projetés</t>
  </si>
  <si>
    <t>Effort prévu n</t>
  </si>
  <si>
    <t>Questionnaire pour l'établissement des dépenses thématiques admises
Péréquations intercommunales 2021</t>
  </si>
  <si>
    <t>- Mentionner les montants figurant dans les comptes communaux (bilan et compte d'exploitation) définitifs.
- Dans le cas où des répartitions sont nécessaires, y procéder en tenant compte de la proportion des dépenses affectées aux rubriques concernées.
- Le cas échéant, procéder de même pour les subventions et autres recettes reçues et à recevoir.
- Procéder aux imputations internes nécessaires (par exemple frais de personnel) sur la base de décomptes précis ou, au besoin, en appliquant un pourcentage.
- Ne faire figurer qu'une fois les dépenses concernées.
Attention : le fait qu'une dépense soit recensée dans ce questionnaire ne signifie pas qu'elle sera automatiquement prise en considération dans le calcul définitif des charges admises. La Diection des Affaires institutionnelles et des communes (DGAIC) se réserve la possibilité d'effectuer des contrôles.
Ce document doit être attesté par un réviseur pour les communes devant être révisées (NAS920) ou COGEST/COFIN pour les autres.
En cas de questions, le secteur des finances communales se tient à votre disposition :
- Charles-Henri Clerc : 021 / 316.45.43 (charles-henri.clerc@vd.ch)
- Fabio Cappelletti : 021 / 316.40.73  (fabio.cappelletti@vd.ch)</t>
  </si>
  <si>
    <t>Veuillez nous retourner le questionnaire accompagné de son attestation ou signé, par courrier à la 
DGAIC, Direction des finances communales, Cité-Derrière 17, 1014 Lausanne, au plus tard le</t>
  </si>
  <si>
    <t>Jeudi 5 mai 2022</t>
  </si>
  <si>
    <t>- Routes ouvertes à la circulation</t>
  </si>
  <si>
    <t>- Sécurisation des routes</t>
  </si>
  <si>
    <t>- Murs de soutènement</t>
  </si>
  <si>
    <t>- Ponts et tunnels</t>
  </si>
  <si>
    <t>- Trottoirs</t>
  </si>
  <si>
    <t>- Pistes cyclables</t>
  </si>
  <si>
    <t>Investissements nets</t>
  </si>
  <si>
    <t>Charges admises 
2021</t>
  </si>
  <si>
    <t>Charges admises 2020
(comparaison)</t>
  </si>
  <si>
    <t>Investissements</t>
  </si>
  <si>
    <r>
      <t xml:space="preserve">Investissements routiers figurant au bilan au 1er janvier
</t>
    </r>
    <r>
      <rPr>
        <b/>
        <sz val="8"/>
        <rFont val="Calibri"/>
        <family val="2"/>
        <scheme val="minor"/>
      </rPr>
      <t>(Amortissements dégressifs sur 15 ans)</t>
    </r>
  </si>
  <si>
    <r>
      <t xml:space="preserve">Nouveaux investissements effectués dans l'année
</t>
    </r>
    <r>
      <rPr>
        <b/>
        <sz val="8"/>
        <rFont val="Calibri"/>
        <family val="2"/>
        <scheme val="minor"/>
      </rPr>
      <t>(Amortissements linéaires  sur 10 ou 30 ans)</t>
    </r>
  </si>
  <si>
    <t>- construction de routes (y.c. frais d'études) (Amort. 30 ans)</t>
  </si>
  <si>
    <t>- entretien lourd (y.c. frais d'études) (Amort. 30 ans)</t>
  </si>
  <si>
    <t>- intérêts intercalaires sur travaux d'investissements (Amort. 30 ans)</t>
  </si>
  <si>
    <t>- véhicules affectés exclusivement à entretien routes (Amort. 10 ans)</t>
  </si>
  <si>
    <t>- travaux de réfection moyens (Amort. 30 ans)</t>
  </si>
  <si>
    <t>- systèmes de gestion du trafic (Amort. 10 ans)</t>
  </si>
  <si>
    <t>- Nettoyage, balayage, déneigement</t>
  </si>
  <si>
    <t>- Intérêts bancaires (répartition en fonction des actifs)</t>
  </si>
  <si>
    <t>- Système de gestion du trafic et information : installations permanentes
(gestion de la circulation, feux, etc.)</t>
  </si>
  <si>
    <t>- Ordonnance du trafic : installations temporaires
(déviations, manifestations, chantiers, radars pédagogiques, etc.)</t>
  </si>
  <si>
    <t>- Bureau technique</t>
  </si>
  <si>
    <t>- Infrastructure technique liée aux transports (ateliers, magasins)</t>
  </si>
  <si>
    <t>- Coûts d'exploitation des véhicules</t>
  </si>
  <si>
    <t>- Participation tiers pour prestations fournies par la commune</t>
  </si>
  <si>
    <t>TOTAL ROUTES ET INFRASTRUCTURES</t>
  </si>
  <si>
    <t>Ecart avec l'année précédente</t>
  </si>
  <si>
    <t>Routes et infrastructures  -  justification des écarts avec l'année précédente</t>
  </si>
  <si>
    <r>
      <rPr>
        <u/>
        <sz val="12"/>
        <rFont val="Calibri"/>
        <family val="2"/>
        <scheme val="minor"/>
      </rPr>
      <t>Charges et recettes liées à la politique du stationnement</t>
    </r>
    <r>
      <rPr>
        <sz val="12"/>
        <rFont val="Calibri"/>
        <family val="2"/>
        <scheme val="minor"/>
      </rPr>
      <t xml:space="preserve">
Construction des parkings, marquage, exploitation, contrôle des parkings, macarons, parcomètres, amendes, corps de police, assistants de sécurité publique, etc.</t>
    </r>
  </si>
  <si>
    <r>
      <rPr>
        <u/>
        <sz val="12"/>
        <rFont val="Calibri"/>
        <family val="2"/>
        <scheme val="minor"/>
      </rPr>
      <t>Contre-allées et routes d'accès aux parkings</t>
    </r>
    <r>
      <rPr>
        <sz val="12"/>
        <rFont val="Calibri"/>
        <family val="2"/>
        <scheme val="minor"/>
      </rPr>
      <t xml:space="preserve">
Pour les places à usage mixte (circulation et parkings, procéder à une ventilation entre dépenses admises et non admises).</t>
    </r>
  </si>
  <si>
    <r>
      <rPr>
        <u/>
        <sz val="12"/>
        <rFont val="Calibri"/>
        <family val="2"/>
        <scheme val="minor"/>
      </rPr>
      <t>Espaces publics</t>
    </r>
    <r>
      <rPr>
        <sz val="12"/>
        <rFont val="Calibri"/>
        <family val="2"/>
        <scheme val="minor"/>
      </rPr>
      <t xml:space="preserve">
Décoration des carrefours et giratoires, fontaines, éclairage public, WC, escaliers roulants et ascenseurs, ports et rives des lacs, espaces verts, réclames, affichage, décoration de Noël, conteneurs. </t>
    </r>
  </si>
  <si>
    <r>
      <rPr>
        <u/>
        <sz val="12"/>
        <rFont val="Calibri"/>
        <family val="2"/>
        <scheme val="minor"/>
      </rPr>
      <t xml:space="preserve">Equipements techniques souterrains
</t>
    </r>
    <r>
      <rPr>
        <sz val="12"/>
        <rFont val="Calibri"/>
        <family val="2"/>
        <scheme val="minor"/>
      </rPr>
      <t>Collecteurs, réseau d'eau, épuration, gaz, électricité, téléréseau.</t>
    </r>
  </si>
  <si>
    <r>
      <rPr>
        <u/>
        <sz val="12"/>
        <rFont val="Calibri"/>
        <family val="2"/>
        <scheme val="minor"/>
      </rPr>
      <t xml:space="preserve">Sécurité et prévention
</t>
    </r>
    <r>
      <rPr>
        <sz val="12"/>
        <rFont val="Calibri"/>
        <family val="2"/>
        <scheme val="minor"/>
      </rPr>
      <t>Radars et charges en relation avec les mesures de prévention.</t>
    </r>
  </si>
  <si>
    <t>2. Transports publics (facture de la participation communale au déficit des transports publics)</t>
  </si>
  <si>
    <t>2020 (comparaison)</t>
  </si>
  <si>
    <t>- Trafic urbain et régional</t>
  </si>
  <si>
    <t>Factures pour des lignes admises par le canton (DGMR). Montant net du déficit après intégration des recettes commerciales.</t>
  </si>
  <si>
    <t>- Infrastructures ferroviaires</t>
  </si>
  <si>
    <t>Facture selon répartition cantonale.</t>
  </si>
  <si>
    <t>Participation au déficit des lignes régulières de navigation.</t>
  </si>
  <si>
    <t>Recettes éventuelles liées à d'autres activités que celles de transports (subventionnement par des entreprises électriques, par exemple)</t>
  </si>
  <si>
    <t>TOTAL TRANSPORTS PUBLICS</t>
  </si>
  <si>
    <t>Transports publics  -  justification des écarts avec l'année précédente</t>
  </si>
  <si>
    <t>- Factures qui résulteraient de prestations de transports publics par la commune sans l'aval du canton</t>
  </si>
  <si>
    <t>- Dépenses communales pour télécabines, téléphériques, remontées mécaniques, installations sportives</t>
  </si>
  <si>
    <t>Part de la commune aux charges de transports scolaires
(selon règlement communal, voir règlement sur les transports scolaires du 19 décembre 2011)</t>
  </si>
  <si>
    <t>Part communale selon comptabilité communale ou part facturée par les établissements scolaires selon les normes de répartition intercommunales en vigueur dans l'établissement</t>
  </si>
  <si>
    <t>Transports scolaires  -   justification de l'écart avec l'année précédente</t>
  </si>
  <si>
    <t>- Forêts communales et pâturages boisés, selon le périmètre régi par la législation fédérale sur les forêts</t>
  </si>
  <si>
    <t>- Dépenses forestières d'infrastructures sur le territoire communal</t>
  </si>
  <si>
    <t xml:space="preserve">Investissements nets </t>
  </si>
  <si>
    <r>
      <t xml:space="preserve">Investissements forestiers figurant au bilan au 1er janvier
</t>
    </r>
    <r>
      <rPr>
        <b/>
        <sz val="8"/>
        <rFont val="Calibri"/>
        <family val="2"/>
        <scheme val="minor"/>
      </rPr>
      <t>(Amortissements dégressifs sur 15 ans)  -  sans les forêts</t>
    </r>
  </si>
  <si>
    <t>Biens utilisés exclusivement pour entretien forêts (amort. 30 ans)</t>
  </si>
  <si>
    <t>Biens utilisés exclusivement pour entretien forêts (amort. 10 ans)</t>
  </si>
  <si>
    <r>
      <t xml:space="preserve">- Travaux d'entretien courant
</t>
    </r>
    <r>
      <rPr>
        <sz val="9"/>
        <rFont val="Calibri"/>
        <family val="2"/>
        <scheme val="minor"/>
      </rPr>
      <t>(Etudes, biens, services et marchandises, salaires, imputation heures du personnel)</t>
    </r>
  </si>
  <si>
    <t>- Coupes, plantation, autres coûts d'exploitation à charge de la commune</t>
  </si>
  <si>
    <t>- Subventions et autres participations reçues</t>
  </si>
  <si>
    <t>- Recettes commerciales liées à l'exploitation des forêts (vente bois)</t>
  </si>
  <si>
    <t>- Participation de tiers pour prestations effectuées par la commune</t>
  </si>
  <si>
    <t>TOTAL FORETS</t>
  </si>
  <si>
    <t>Forêts  -  justification des écarts avec l'année précédente</t>
  </si>
  <si>
    <t>- Charges liées aux loisirs en forêt, refuges, places de jeux</t>
  </si>
  <si>
    <t>- Charges non liées à l'exploitation forestière, charges liées à la transformation de bois</t>
  </si>
  <si>
    <t>- Prés, pâturages, autres terrains agricoles et viticoles.</t>
  </si>
  <si>
    <t>ATTESTATIONS</t>
  </si>
  <si>
    <t>Conforme aux comptes et aux indications ressortant du questionnaire</t>
  </si>
  <si>
    <t>Pour les communes non soumises au contrôle ordinaire (Contrôle ordinaire : rapport selon NAS 920)</t>
  </si>
  <si>
    <t>Sur la base de son contrôle, par sa signature, la COGEST / COFIN atteste que :</t>
  </si>
  <si>
    <t>1) Les montants déclarés dans le questionnaire ressortent des comptes de la commune ou s'agissant de montants résultant de l'application de clés de répartition, que les montants d'origine ressortent des comptes de la commune.</t>
  </si>
  <si>
    <t>2) Les montants de l'exercice précédent ont été reportés correctement et exactement dans le questionnaire.</t>
  </si>
  <si>
    <t>3) Les investissements nets comprennent uniquement des montants admis dans les périmètres des routes et des forêts. Ils sont indiqués nets des amortissements cumulés. Toutes les subventions et autres recettes reçues et à recevoir pour les objets d'investissements déclarés dans le questionnaire ont été dûment déduites.</t>
  </si>
  <si>
    <t>4) Les montants déclarés dans le questionnaire ont été passé en revue et aucune charge non admise ni figurant à double n'a été relevée.</t>
  </si>
  <si>
    <t>5) Dans le cas où la commune utilise des clés de répartition pour déterminer les charges déclarées dans le questionnaire pour l'établissement des dépenses thématiques, nous avons obtenu les principes d'allocation retenus par la commune ainsi que les taux d'allocation appliqués et avons vérifié :
- Pour les éléments existants l'année précédente, que les taux d'allocation ont été conservés ou, s'ils ont été modifiés, que les modifications ont été dûment documentées.
- Pour les éléments ayant pris naissance durant l'année, que les taux appliqués ont été dûment documentés.</t>
  </si>
  <si>
    <t xml:space="preserve">La COGEST / COFIN) : </t>
  </si>
  <si>
    <t>Effort avec Rec. Conj</t>
  </si>
  <si>
    <t>Effort sans Rec. Conj</t>
  </si>
  <si>
    <t>Part à la rétribution - RFFA</t>
  </si>
  <si>
    <t>Acomptes 2022</t>
  </si>
  <si>
    <t>Commune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</si>
</sst>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 #,##0.00_ ;_ * \-#,##0.00_ ;_ * &quot;-&quot;??_ ;_ @_ "/>
    <numFmt numFmtId="164" formatCode="_-* #,##0.00_-;\-* #,##0.00_-;_-* &quot;-&quot;??_-;_-@_-"/>
    <numFmt numFmtId="165" formatCode="_ &quot;SFr.&quot;\ * #,##0_ ;_ &quot;SFr.&quot;\ * \-#,##0_ ;_ &quot;SFr.&quot;\ * &quot;-&quot;_ ;_ @_ "/>
    <numFmt numFmtId="166" formatCode="#,##0.0"/>
    <numFmt numFmtId="167" formatCode="#,##0.0000"/>
    <numFmt numFmtId="168" formatCode="#,##0.000"/>
    <numFmt numFmtId="169" formatCode="#,##0.00000"/>
    <numFmt numFmtId="170" formatCode="0.000000"/>
    <numFmt numFmtId="171" formatCode="0.00000%"/>
    <numFmt numFmtId="172" formatCode="0.0"/>
    <numFmt numFmtId="173" formatCode="#,##0.000000"/>
    <numFmt numFmtId="174" formatCode="_ * #,##0_ ;_ * \-#,##0_ ;_ * &quot;-&quot;??_ ;_ @_ "/>
    <numFmt numFmtId="175" formatCode="0.000"/>
    <numFmt numFmtId="176" formatCode="0.000000000"/>
  </numFmts>
  <fonts count="63" x14ac:knownFonts="1">
    <font>
      <sz val="10"/>
      <name val="Verdana"/>
    </font>
    <font>
      <sz val="11"/>
      <color theme="1"/>
      <name val="Calibri"/>
      <family val="2"/>
      <scheme val="minor"/>
    </font>
    <font>
      <sz val="11"/>
      <color theme="1"/>
      <name val="Calibri"/>
      <family val="2"/>
      <scheme val="minor"/>
    </font>
    <font>
      <sz val="11"/>
      <color theme="1"/>
      <name val="Myriad Pro"/>
      <family val="2"/>
    </font>
    <font>
      <b/>
      <sz val="10"/>
      <name val="Verdana"/>
      <family val="2"/>
    </font>
    <font>
      <sz val="10"/>
      <name val="Verdana"/>
      <family val="2"/>
    </font>
    <font>
      <sz val="12"/>
      <name val="Arial"/>
      <family val="2"/>
    </font>
    <font>
      <b/>
      <sz val="12"/>
      <name val="Arial"/>
      <family val="2"/>
    </font>
    <font>
      <sz val="10"/>
      <color indexed="8"/>
      <name val="Arial"/>
      <family val="2"/>
    </font>
    <font>
      <sz val="8"/>
      <color indexed="8"/>
      <name val="Tahoma"/>
      <family val="2"/>
    </font>
    <font>
      <sz val="9"/>
      <color indexed="8"/>
      <name val="Tahoma"/>
      <family val="2"/>
    </font>
    <font>
      <b/>
      <sz val="7"/>
      <color indexed="8"/>
      <name val="Tahoma"/>
      <family val="2"/>
    </font>
    <font>
      <b/>
      <sz val="8"/>
      <color indexed="8"/>
      <name val="Tahoma"/>
      <family val="2"/>
    </font>
    <font>
      <b/>
      <sz val="9"/>
      <color indexed="8"/>
      <name val="Tahoma"/>
      <family val="2"/>
    </font>
    <font>
      <sz val="10"/>
      <name val="Arial"/>
      <family val="2"/>
    </font>
    <font>
      <b/>
      <sz val="10"/>
      <name val="Arial"/>
      <family val="2"/>
    </font>
    <font>
      <b/>
      <sz val="14"/>
      <color indexed="8"/>
      <name val="Tahoma"/>
      <family val="2"/>
    </font>
    <font>
      <b/>
      <sz val="10"/>
      <color indexed="10"/>
      <name val="Arial"/>
      <family val="2"/>
    </font>
    <font>
      <sz val="14"/>
      <name val="Arial"/>
      <family val="2"/>
    </font>
    <font>
      <b/>
      <sz val="12"/>
      <color indexed="8"/>
      <name val="Tahoma"/>
      <family val="2"/>
    </font>
    <font>
      <sz val="11"/>
      <color indexed="8"/>
      <name val="Tahoma"/>
      <family val="2"/>
    </font>
    <font>
      <sz val="9"/>
      <color indexed="15"/>
      <name val="Tahoma"/>
      <family val="2"/>
    </font>
    <font>
      <b/>
      <i/>
      <sz val="9"/>
      <color indexed="8"/>
      <name val="Tahoma"/>
      <family val="2"/>
    </font>
    <font>
      <b/>
      <i/>
      <sz val="11"/>
      <color indexed="8"/>
      <name val="Rockwell"/>
      <family val="1"/>
    </font>
    <font>
      <b/>
      <sz val="9"/>
      <color indexed="8"/>
      <name val="Palatino Linotype"/>
      <family val="1"/>
    </font>
    <font>
      <b/>
      <sz val="9"/>
      <name val="Tahoma"/>
      <family val="2"/>
    </font>
    <font>
      <b/>
      <sz val="11"/>
      <color indexed="8"/>
      <name val="Tahoma"/>
      <family val="2"/>
    </font>
    <font>
      <sz val="10"/>
      <color indexed="8"/>
      <name val="Tahoma"/>
      <family val="2"/>
    </font>
    <font>
      <sz val="9"/>
      <name val="Tahoma"/>
      <family val="2"/>
    </font>
    <font>
      <sz val="10"/>
      <name val="Verdana"/>
      <family val="2"/>
    </font>
    <font>
      <b/>
      <sz val="10"/>
      <color indexed="8"/>
      <name val="Tahoma"/>
      <family val="2"/>
    </font>
    <font>
      <sz val="10"/>
      <name val="Tahoma"/>
      <family val="2"/>
    </font>
    <font>
      <i/>
      <sz val="9"/>
      <color indexed="8"/>
      <name val="Tahoma"/>
      <family val="2"/>
    </font>
    <font>
      <b/>
      <sz val="12"/>
      <color indexed="10"/>
      <name val="Arial"/>
      <family val="2"/>
    </font>
    <font>
      <b/>
      <sz val="9"/>
      <color rgb="FFFF0000"/>
      <name val="Tahoma"/>
      <family val="2"/>
    </font>
    <font>
      <b/>
      <sz val="8"/>
      <color rgb="FFFF0000"/>
      <name val="Tahoma"/>
      <family val="2"/>
    </font>
    <font>
      <sz val="12"/>
      <color theme="1"/>
      <name val="Tahoma"/>
      <family val="2"/>
    </font>
    <font>
      <b/>
      <sz val="10"/>
      <color rgb="FFFF0000"/>
      <name val="Tahoma"/>
      <family val="2"/>
    </font>
    <font>
      <b/>
      <sz val="10"/>
      <name val="Tahoma"/>
      <family val="2"/>
    </font>
    <font>
      <i/>
      <sz val="10"/>
      <color rgb="FFFF0000"/>
      <name val="Tahoma"/>
      <family val="2"/>
    </font>
    <font>
      <b/>
      <sz val="16"/>
      <color theme="0"/>
      <name val="Calibri"/>
      <family val="2"/>
      <scheme val="minor"/>
    </font>
    <font>
      <sz val="11"/>
      <color theme="1"/>
      <name val="Calibri"/>
      <family val="2"/>
      <scheme val="minor"/>
    </font>
    <font>
      <b/>
      <sz val="14"/>
      <name val="Calibri"/>
      <family val="2"/>
      <scheme val="minor"/>
    </font>
    <font>
      <b/>
      <sz val="11"/>
      <color theme="1"/>
      <name val="Calibri"/>
      <family val="2"/>
      <scheme val="minor"/>
    </font>
    <font>
      <sz val="16"/>
      <color theme="1"/>
      <name val="Calibri"/>
      <family val="2"/>
      <scheme val="minor"/>
    </font>
    <font>
      <b/>
      <sz val="14"/>
      <color theme="1"/>
      <name val="Calibri"/>
      <family val="2"/>
      <scheme val="minor"/>
    </font>
    <font>
      <sz val="14"/>
      <name val="Calibri"/>
      <family val="2"/>
      <scheme val="minor"/>
    </font>
    <font>
      <sz val="14"/>
      <color theme="1"/>
      <name val="Calibri"/>
      <family val="2"/>
      <scheme val="minor"/>
    </font>
    <font>
      <sz val="10"/>
      <name val="Calibri"/>
      <family val="2"/>
      <scheme val="minor"/>
    </font>
    <font>
      <b/>
      <sz val="12"/>
      <name val="Calibri"/>
      <family val="2"/>
      <scheme val="minor"/>
    </font>
    <font>
      <sz val="12"/>
      <name val="Calibri"/>
      <family val="2"/>
      <scheme val="minor"/>
    </font>
    <font>
      <i/>
      <sz val="12"/>
      <name val="Calibri"/>
      <family val="2"/>
      <scheme val="minor"/>
    </font>
    <font>
      <b/>
      <sz val="8"/>
      <name val="Calibri"/>
      <family val="2"/>
      <scheme val="minor"/>
    </font>
    <font>
      <sz val="8"/>
      <name val="Helvetica"/>
    </font>
    <font>
      <sz val="9"/>
      <color rgb="FFFF0000"/>
      <name val="Tahoma"/>
      <family val="2"/>
    </font>
    <font>
      <sz val="11"/>
      <name val="Calibri"/>
      <family val="2"/>
      <scheme val="minor"/>
    </font>
    <font>
      <b/>
      <sz val="11"/>
      <color theme="3" tint="0.39997558519241921"/>
      <name val="Arial"/>
      <family val="2"/>
    </font>
    <font>
      <b/>
      <sz val="10"/>
      <color rgb="FF0070C0"/>
      <name val="Arial"/>
      <family val="2"/>
    </font>
    <font>
      <b/>
      <sz val="12"/>
      <color theme="1"/>
      <name val="Calibri"/>
      <family val="2"/>
      <scheme val="minor"/>
    </font>
    <font>
      <u/>
      <sz val="12"/>
      <name val="Calibri"/>
      <family val="2"/>
      <scheme val="minor"/>
    </font>
    <font>
      <sz val="9"/>
      <name val="Calibri"/>
      <family val="2"/>
      <scheme val="minor"/>
    </font>
    <font>
      <b/>
      <sz val="9"/>
      <color rgb="FF00B050"/>
      <name val="Tahoma"/>
      <family val="2"/>
    </font>
    <font>
      <b/>
      <sz val="10"/>
      <color rgb="FF00B050"/>
      <name val="Arial"/>
      <family val="2"/>
    </font>
  </fonts>
  <fills count="2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rgb="FF66FF3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double">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s>
  <cellStyleXfs count="16">
    <xf numFmtId="0" fontId="0" fillId="0" borderId="0"/>
    <xf numFmtId="0" fontId="29" fillId="0" borderId="0"/>
    <xf numFmtId="0" fontId="5" fillId="0" borderId="0"/>
    <xf numFmtId="0" fontId="8" fillId="0" borderId="0">
      <alignment vertical="top"/>
    </xf>
    <xf numFmtId="9" fontId="5" fillId="0" borderId="0" applyFont="0" applyFill="0" applyBorder="0" applyAlignment="0" applyProtection="0"/>
    <xf numFmtId="0" fontId="3" fillId="0" borderId="0"/>
    <xf numFmtId="0" fontId="41" fillId="0" borderId="0"/>
    <xf numFmtId="0" fontId="5" fillId="0" borderId="0"/>
    <xf numFmtId="43" fontId="41" fillId="0" borderId="0" applyFont="0" applyFill="0" applyBorder="0" applyAlignment="0" applyProtection="0"/>
    <xf numFmtId="0" fontId="53" fillId="0" borderId="14" applyBorder="0">
      <alignment horizontal="center" textRotation="90"/>
    </xf>
    <xf numFmtId="0" fontId="2" fillId="0" borderId="0"/>
    <xf numFmtId="43" fontId="2" fillId="0" borderId="0" applyFont="0" applyFill="0" applyBorder="0" applyAlignment="0" applyProtection="0"/>
    <xf numFmtId="164"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93">
    <xf numFmtId="0" fontId="0" fillId="0" borderId="0" xfId="0"/>
    <xf numFmtId="166" fontId="13" fillId="2" borderId="27" xfId="3" applyNumberFormat="1" applyFont="1" applyFill="1" applyBorder="1" applyAlignment="1" applyProtection="1">
      <alignment horizontal="center" vertical="top"/>
      <protection locked="0"/>
    </xf>
    <xf numFmtId="3" fontId="10" fillId="2" borderId="15" xfId="3" applyNumberFormat="1" applyFont="1" applyFill="1" applyBorder="1" applyAlignment="1" applyProtection="1">
      <alignment horizontal="right" vertical="top" wrapText="1"/>
      <protection locked="0"/>
    </xf>
    <xf numFmtId="3" fontId="10" fillId="2" borderId="15" xfId="3" applyNumberFormat="1" applyFont="1" applyFill="1" applyBorder="1" applyProtection="1">
      <alignment vertical="top"/>
      <protection locked="0"/>
    </xf>
    <xf numFmtId="3" fontId="9" fillId="0" borderId="0" xfId="3" applyNumberFormat="1" applyFont="1">
      <alignment vertical="top"/>
    </xf>
    <xf numFmtId="3" fontId="10" fillId="0" borderId="0" xfId="3" applyNumberFormat="1" applyFont="1">
      <alignment vertical="top"/>
    </xf>
    <xf numFmtId="2" fontId="10" fillId="0" borderId="0" xfId="3" applyNumberFormat="1" applyFont="1">
      <alignment vertical="top"/>
    </xf>
    <xf numFmtId="3" fontId="16" fillId="0" borderId="20" xfId="3" applyNumberFormat="1" applyFont="1" applyBorder="1" applyAlignment="1">
      <alignment horizontal="left" vertical="top"/>
    </xf>
    <xf numFmtId="3" fontId="10" fillId="0" borderId="20" xfId="3" applyNumberFormat="1" applyFont="1" applyBorder="1">
      <alignment vertical="top"/>
    </xf>
    <xf numFmtId="3" fontId="11" fillId="0" borderId="20" xfId="3" applyNumberFormat="1" applyFont="1" applyBorder="1" applyAlignment="1">
      <alignment horizontal="center" vertical="top" wrapText="1"/>
    </xf>
    <xf numFmtId="3" fontId="11" fillId="0" borderId="20" xfId="3" applyNumberFormat="1" applyFont="1" applyBorder="1" applyAlignment="1">
      <alignment horizontal="centerContinuous" vertical="top" wrapText="1"/>
    </xf>
    <xf numFmtId="3" fontId="9" fillId="0" borderId="20" xfId="3" applyNumberFormat="1" applyFont="1" applyBorder="1" applyAlignment="1">
      <alignment horizontal="left" vertical="top"/>
    </xf>
    <xf numFmtId="3" fontId="13" fillId="0" borderId="20" xfId="3" applyNumberFormat="1" applyFont="1" applyBorder="1" applyAlignment="1">
      <alignment horizontal="center" vertical="top"/>
    </xf>
    <xf numFmtId="3" fontId="22" fillId="0" borderId="20" xfId="3" applyNumberFormat="1" applyFont="1" applyBorder="1" applyAlignment="1">
      <alignment horizontal="left" vertical="top" wrapText="1"/>
    </xf>
    <xf numFmtId="3" fontId="10" fillId="0" borderId="20" xfId="3" applyNumberFormat="1" applyFont="1" applyBorder="1" applyAlignment="1">
      <alignment horizontal="right" vertical="top" wrapText="1"/>
    </xf>
    <xf numFmtId="3" fontId="9" fillId="0" borderId="20" xfId="3" applyNumberFormat="1" applyFont="1" applyBorder="1">
      <alignment vertical="top"/>
    </xf>
    <xf numFmtId="166" fontId="13" fillId="0" borderId="20" xfId="3" applyNumberFormat="1" applyFont="1" applyBorder="1" applyAlignment="1">
      <alignment horizontal="center" vertical="top"/>
    </xf>
    <xf numFmtId="167" fontId="13" fillId="0" borderId="20" xfId="3" applyNumberFormat="1" applyFont="1" applyBorder="1" applyAlignment="1">
      <alignment horizontal="center" vertical="top"/>
    </xf>
    <xf numFmtId="3" fontId="9" fillId="0" borderId="14" xfId="3" applyNumberFormat="1" applyFont="1" applyBorder="1">
      <alignment vertical="top"/>
    </xf>
    <xf numFmtId="166" fontId="13" fillId="0" borderId="14" xfId="3" applyNumberFormat="1" applyFont="1" applyBorder="1" applyAlignment="1">
      <alignment horizontal="center" vertical="top"/>
    </xf>
    <xf numFmtId="3" fontId="10" fillId="0" borderId="14" xfId="3" applyNumberFormat="1" applyFont="1" applyBorder="1">
      <alignment vertical="top"/>
    </xf>
    <xf numFmtId="167" fontId="13" fillId="0" borderId="14" xfId="3" applyNumberFormat="1" applyFont="1" applyBorder="1" applyAlignment="1">
      <alignment horizontal="center" vertical="top"/>
    </xf>
    <xf numFmtId="3" fontId="13" fillId="0" borderId="14" xfId="3" applyNumberFormat="1" applyFont="1" applyBorder="1">
      <alignment vertical="top"/>
    </xf>
    <xf numFmtId="3" fontId="12" fillId="0" borderId="14" xfId="3" applyNumberFormat="1" applyFont="1" applyBorder="1" applyAlignment="1">
      <alignment horizontal="left" vertical="top" wrapText="1"/>
    </xf>
    <xf numFmtId="3" fontId="13" fillId="0" borderId="14" xfId="3" applyNumberFormat="1" applyFont="1" applyBorder="1" applyAlignment="1">
      <alignment horizontal="left" vertical="top" wrapText="1"/>
    </xf>
    <xf numFmtId="3" fontId="9" fillId="0" borderId="14" xfId="3" applyNumberFormat="1" applyFont="1" applyBorder="1" applyAlignment="1">
      <alignment horizontal="left" vertical="top" wrapText="1"/>
    </xf>
    <xf numFmtId="3" fontId="10" fillId="0" borderId="14" xfId="3" applyNumberFormat="1" applyFont="1" applyBorder="1" applyAlignment="1">
      <alignment horizontal="right" vertical="top" wrapText="1"/>
    </xf>
    <xf numFmtId="3" fontId="22" fillId="0" borderId="14" xfId="3" applyNumberFormat="1" applyFont="1" applyBorder="1">
      <alignment vertical="top"/>
    </xf>
    <xf numFmtId="3" fontId="12" fillId="0" borderId="17" xfId="3" applyNumberFormat="1" applyFont="1" applyBorder="1" applyAlignment="1">
      <alignment horizontal="left" vertical="top" wrapText="1"/>
    </xf>
    <xf numFmtId="3" fontId="13" fillId="0" borderId="17" xfId="3" applyNumberFormat="1" applyFont="1" applyBorder="1">
      <alignment vertical="top"/>
    </xf>
    <xf numFmtId="3" fontId="10" fillId="0" borderId="17" xfId="3" applyNumberFormat="1" applyFont="1" applyBorder="1">
      <alignment vertical="top"/>
    </xf>
    <xf numFmtId="3" fontId="9" fillId="0" borderId="17" xfId="3" applyNumberFormat="1" applyFont="1" applyBorder="1" applyAlignment="1">
      <alignment horizontal="left" vertical="top" wrapText="1"/>
    </xf>
    <xf numFmtId="167" fontId="13" fillId="0" borderId="14" xfId="3" applyNumberFormat="1" applyFont="1" applyBorder="1" applyAlignment="1">
      <alignment horizontal="right" vertical="top" wrapText="1"/>
    </xf>
    <xf numFmtId="4" fontId="13" fillId="0" borderId="14" xfId="3" applyNumberFormat="1" applyFont="1" applyBorder="1">
      <alignment vertical="top"/>
    </xf>
    <xf numFmtId="9" fontId="13" fillId="0" borderId="14" xfId="3" applyNumberFormat="1" applyFont="1" applyBorder="1">
      <alignment vertical="top"/>
    </xf>
    <xf numFmtId="3" fontId="12" fillId="0" borderId="20" xfId="3" applyNumberFormat="1" applyFont="1" applyBorder="1" applyAlignment="1">
      <alignment horizontal="left" vertical="top" wrapText="1"/>
    </xf>
    <xf numFmtId="3" fontId="13" fillId="0" borderId="20" xfId="3" applyNumberFormat="1" applyFont="1" applyBorder="1" applyAlignment="1">
      <alignment horizontal="right" vertical="top" wrapText="1"/>
    </xf>
    <xf numFmtId="3" fontId="12" fillId="0" borderId="0" xfId="3" applyNumberFormat="1" applyFont="1">
      <alignment vertical="top"/>
    </xf>
    <xf numFmtId="3" fontId="13" fillId="0" borderId="26" xfId="3" applyNumberFormat="1" applyFont="1" applyBorder="1">
      <alignment vertical="top"/>
    </xf>
    <xf numFmtId="3" fontId="13" fillId="0" borderId="0" xfId="3" applyNumberFormat="1" applyFont="1">
      <alignment vertical="top"/>
    </xf>
    <xf numFmtId="3" fontId="12" fillId="0" borderId="12" xfId="3" applyNumberFormat="1" applyFont="1" applyBorder="1">
      <alignment vertical="top"/>
    </xf>
    <xf numFmtId="3" fontId="10" fillId="0" borderId="11" xfId="3" applyNumberFormat="1" applyFont="1" applyBorder="1">
      <alignment vertical="top"/>
    </xf>
    <xf numFmtId="2" fontId="13" fillId="0" borderId="11" xfId="3" applyNumberFormat="1" applyFont="1" applyBorder="1">
      <alignment vertical="top"/>
    </xf>
    <xf numFmtId="3" fontId="12" fillId="0" borderId="15" xfId="3" applyNumberFormat="1" applyFont="1" applyBorder="1">
      <alignment vertical="top"/>
    </xf>
    <xf numFmtId="2" fontId="13" fillId="0" borderId="14" xfId="3" applyNumberFormat="1" applyFont="1" applyBorder="1">
      <alignment vertical="top"/>
    </xf>
    <xf numFmtId="3" fontId="12" fillId="0" borderId="18" xfId="3" applyNumberFormat="1" applyFont="1" applyBorder="1">
      <alignment vertical="top"/>
    </xf>
    <xf numFmtId="2" fontId="13" fillId="0" borderId="17" xfId="3" applyNumberFormat="1" applyFont="1" applyBorder="1">
      <alignment vertical="top"/>
    </xf>
    <xf numFmtId="0" fontId="14" fillId="0" borderId="2" xfId="0" applyFont="1" applyBorder="1"/>
    <xf numFmtId="4" fontId="0" fillId="0" borderId="2" xfId="0" applyNumberFormat="1" applyBorder="1"/>
    <xf numFmtId="2" fontId="0" fillId="0" borderId="3" xfId="0" applyNumberFormat="1" applyBorder="1"/>
    <xf numFmtId="2" fontId="0" fillId="0" borderId="0" xfId="0" applyNumberFormat="1"/>
    <xf numFmtId="0" fontId="14" fillId="0" borderId="0" xfId="0" applyFont="1"/>
    <xf numFmtId="10" fontId="17" fillId="0" borderId="20" xfId="4" applyNumberFormat="1" applyFont="1" applyBorder="1" applyAlignment="1" applyProtection="1">
      <alignment horizontal="center"/>
    </xf>
    <xf numFmtId="2" fontId="0" fillId="0" borderId="5" xfId="0" applyNumberFormat="1" applyBorder="1"/>
    <xf numFmtId="10" fontId="15" fillId="0" borderId="12" xfId="4" applyNumberFormat="1" applyFont="1" applyBorder="1" applyAlignment="1" applyProtection="1">
      <alignment horizontal="center" vertical="top" wrapText="1"/>
    </xf>
    <xf numFmtId="10" fontId="15" fillId="0" borderId="20" xfId="4" applyNumberFormat="1" applyFont="1" applyBorder="1" applyAlignment="1" applyProtection="1">
      <alignment horizontal="center" vertical="top" wrapText="1"/>
    </xf>
    <xf numFmtId="10" fontId="14" fillId="0" borderId="18" xfId="4" applyNumberFormat="1" applyFont="1" applyBorder="1" applyProtection="1"/>
    <xf numFmtId="10" fontId="14" fillId="0" borderId="11" xfId="4" applyNumberFormat="1" applyFont="1" applyBorder="1" applyProtection="1"/>
    <xf numFmtId="2" fontId="0" fillId="0" borderId="11" xfId="4" applyNumberFormat="1" applyFont="1" applyBorder="1" applyProtection="1"/>
    <xf numFmtId="2" fontId="0" fillId="0" borderId="14" xfId="4" applyNumberFormat="1" applyFont="1" applyBorder="1" applyProtection="1"/>
    <xf numFmtId="2" fontId="10" fillId="0" borderId="5" xfId="3" applyNumberFormat="1" applyFont="1" applyBorder="1">
      <alignment vertical="top"/>
    </xf>
    <xf numFmtId="9" fontId="10" fillId="0" borderId="0" xfId="3" applyNumberFormat="1" applyFont="1">
      <alignment vertical="top"/>
    </xf>
    <xf numFmtId="10" fontId="10" fillId="0" borderId="0" xfId="3" applyNumberFormat="1" applyFont="1">
      <alignment vertical="top"/>
    </xf>
    <xf numFmtId="3" fontId="10" fillId="0" borderId="7" xfId="3" applyNumberFormat="1" applyFont="1" applyBorder="1">
      <alignment vertical="top"/>
    </xf>
    <xf numFmtId="9" fontId="10" fillId="0" borderId="7" xfId="3" applyNumberFormat="1" applyFont="1" applyBorder="1">
      <alignment vertical="top"/>
    </xf>
    <xf numFmtId="10" fontId="10" fillId="0" borderId="7" xfId="3" applyNumberFormat="1" applyFont="1" applyBorder="1">
      <alignment vertical="top"/>
    </xf>
    <xf numFmtId="2" fontId="10" fillId="0" borderId="8" xfId="3" applyNumberFormat="1" applyFont="1" applyBorder="1">
      <alignment vertical="top"/>
    </xf>
    <xf numFmtId="0" fontId="15" fillId="0" borderId="28" xfId="0" applyFont="1" applyBorder="1"/>
    <xf numFmtId="3" fontId="17" fillId="0" borderId="28" xfId="0" applyNumberFormat="1" applyFont="1" applyBorder="1"/>
    <xf numFmtId="0" fontId="14" fillId="0" borderId="3" xfId="0" applyFont="1" applyBorder="1"/>
    <xf numFmtId="0" fontId="15" fillId="0" borderId="17" xfId="0" applyFont="1" applyBorder="1"/>
    <xf numFmtId="3" fontId="17" fillId="0" borderId="11" xfId="0" applyNumberFormat="1" applyFont="1" applyBorder="1"/>
    <xf numFmtId="0" fontId="14" fillId="0" borderId="5" xfId="0" applyFont="1" applyBorder="1"/>
    <xf numFmtId="0" fontId="15" fillId="0" borderId="0" xfId="0" applyFont="1" applyAlignment="1">
      <alignment horizontal="center" vertical="top" wrapText="1"/>
    </xf>
    <xf numFmtId="0" fontId="15" fillId="0" borderId="14" xfId="0" applyFont="1" applyBorder="1" applyAlignment="1">
      <alignment horizontal="center" vertical="top" wrapText="1"/>
    </xf>
    <xf numFmtId="0" fontId="15" fillId="0" borderId="30" xfId="0" applyFont="1" applyBorder="1" applyAlignment="1">
      <alignment horizontal="center" vertical="top" wrapText="1"/>
    </xf>
    <xf numFmtId="0" fontId="18" fillId="0" borderId="0" xfId="0" applyFont="1"/>
    <xf numFmtId="3" fontId="19" fillId="0" borderId="0" xfId="3" applyNumberFormat="1" applyFont="1" applyAlignment="1">
      <alignment horizontal="center"/>
    </xf>
    <xf numFmtId="3" fontId="18" fillId="0" borderId="0" xfId="0" applyNumberFormat="1" applyFont="1"/>
    <xf numFmtId="3" fontId="18" fillId="0" borderId="0" xfId="4" applyNumberFormat="1" applyFont="1" applyBorder="1" applyProtection="1"/>
    <xf numFmtId="3" fontId="20" fillId="0" borderId="7" xfId="3" applyNumberFormat="1" applyFont="1" applyBorder="1" applyAlignment="1"/>
    <xf numFmtId="3" fontId="20" fillId="0" borderId="8" xfId="3" applyNumberFormat="1" applyFont="1" applyBorder="1" applyAlignment="1"/>
    <xf numFmtId="3" fontId="20" fillId="0" borderId="0" xfId="3" applyNumberFormat="1" applyFont="1" applyAlignment="1"/>
    <xf numFmtId="2" fontId="20" fillId="0" borderId="0" xfId="3" applyNumberFormat="1" applyFont="1" applyAlignment="1"/>
    <xf numFmtId="3" fontId="21" fillId="0" borderId="0" xfId="3" applyNumberFormat="1" applyFont="1">
      <alignment vertical="top"/>
    </xf>
    <xf numFmtId="3" fontId="10" fillId="0" borderId="0" xfId="3" applyNumberFormat="1" applyFont="1" applyAlignment="1">
      <alignment vertical="top" wrapText="1"/>
    </xf>
    <xf numFmtId="168" fontId="10" fillId="0" borderId="0" xfId="3" applyNumberFormat="1" applyFont="1">
      <alignment vertical="top"/>
    </xf>
    <xf numFmtId="168" fontId="13" fillId="0" borderId="0" xfId="3" applyNumberFormat="1" applyFont="1">
      <alignment vertical="top"/>
    </xf>
    <xf numFmtId="3" fontId="16" fillId="0" borderId="1" xfId="3" applyNumberFormat="1" applyFont="1" applyBorder="1" applyAlignment="1">
      <alignment horizontal="center" vertical="center"/>
    </xf>
    <xf numFmtId="3" fontId="16" fillId="0" borderId="2" xfId="3" applyNumberFormat="1" applyFont="1" applyBorder="1" applyAlignment="1">
      <alignment horizontal="center" vertical="center"/>
    </xf>
    <xf numFmtId="1" fontId="16" fillId="0" borderId="3" xfId="3" applyNumberFormat="1" applyFont="1" applyBorder="1" applyAlignment="1">
      <alignment horizontal="center" vertical="center"/>
    </xf>
    <xf numFmtId="3" fontId="10" fillId="0" borderId="4" xfId="3" applyNumberFormat="1" applyFont="1" applyBorder="1">
      <alignment vertical="top"/>
    </xf>
    <xf numFmtId="3" fontId="10" fillId="0" borderId="5" xfId="3" applyNumberFormat="1" applyFont="1" applyBorder="1" applyAlignment="1">
      <alignment horizontal="right" vertical="top"/>
    </xf>
    <xf numFmtId="3" fontId="10" fillId="0" borderId="4" xfId="3" applyNumberFormat="1" applyFont="1" applyBorder="1" applyAlignment="1">
      <alignment horizontal="left" vertical="top" wrapText="1"/>
    </xf>
    <xf numFmtId="3" fontId="10" fillId="0" borderId="0" xfId="3" applyNumberFormat="1" applyFont="1" applyAlignment="1">
      <alignment horizontal="left" vertical="top" wrapText="1"/>
    </xf>
    <xf numFmtId="3" fontId="10" fillId="0" borderId="5" xfId="3" applyNumberFormat="1" applyFont="1" applyBorder="1" applyAlignment="1">
      <alignment horizontal="right" vertical="top" wrapText="1"/>
    </xf>
    <xf numFmtId="3" fontId="13" fillId="0" borderId="4" xfId="3" applyNumberFormat="1" applyFont="1" applyBorder="1" applyAlignment="1">
      <alignment horizontal="centerContinuous" vertical="center" wrapText="1"/>
    </xf>
    <xf numFmtId="3" fontId="13" fillId="0" borderId="0" xfId="3" applyNumberFormat="1" applyFont="1" applyAlignment="1">
      <alignment horizontal="centerContinuous" vertical="center" wrapText="1"/>
    </xf>
    <xf numFmtId="2" fontId="10" fillId="0" borderId="0" xfId="3" applyNumberFormat="1" applyFont="1" applyAlignment="1">
      <alignment vertical="center"/>
    </xf>
    <xf numFmtId="3" fontId="10" fillId="0" borderId="0" xfId="3" applyNumberFormat="1" applyFont="1" applyAlignment="1">
      <alignment vertical="center"/>
    </xf>
    <xf numFmtId="3" fontId="13" fillId="0" borderId="4" xfId="3" applyNumberFormat="1" applyFont="1" applyBorder="1" applyAlignment="1">
      <alignment horizontal="centerContinuous" vertical="top" wrapText="1"/>
    </xf>
    <xf numFmtId="3" fontId="13" fillId="0" borderId="0" xfId="3" applyNumberFormat="1" applyFont="1" applyAlignment="1">
      <alignment horizontal="centerContinuous" vertical="top" wrapText="1"/>
    </xf>
    <xf numFmtId="4" fontId="10" fillId="0" borderId="5" xfId="3" applyNumberFormat="1" applyFont="1" applyBorder="1" applyAlignment="1">
      <alignment horizontal="right" vertical="top"/>
    </xf>
    <xf numFmtId="3" fontId="12" fillId="0" borderId="6" xfId="3" applyNumberFormat="1" applyFont="1" applyBorder="1" applyAlignment="1">
      <alignment horizontal="left" vertical="top" wrapText="1"/>
    </xf>
    <xf numFmtId="3" fontId="12" fillId="0" borderId="7" xfId="3" applyNumberFormat="1" applyFont="1" applyBorder="1" applyAlignment="1">
      <alignment horizontal="left" vertical="top" wrapText="1"/>
    </xf>
    <xf numFmtId="4" fontId="13" fillId="0" borderId="8" xfId="3" applyNumberFormat="1" applyFont="1" applyBorder="1" applyAlignment="1">
      <alignment horizontal="right" vertical="top"/>
    </xf>
    <xf numFmtId="4" fontId="10" fillId="0" borderId="0" xfId="3" applyNumberFormat="1" applyFont="1">
      <alignment vertical="top"/>
    </xf>
    <xf numFmtId="3" fontId="10" fillId="0" borderId="0" xfId="3" applyNumberFormat="1" applyFont="1" applyAlignment="1">
      <alignment horizontal="center" vertical="center"/>
    </xf>
    <xf numFmtId="3" fontId="13" fillId="0" borderId="32" xfId="3" applyNumberFormat="1" applyFont="1" applyBorder="1" applyAlignment="1">
      <alignment horizontal="center" vertical="center"/>
    </xf>
    <xf numFmtId="3" fontId="13" fillId="0" borderId="34" xfId="3" applyNumberFormat="1" applyFont="1" applyBorder="1" applyAlignment="1">
      <alignment horizontal="left" vertical="center"/>
    </xf>
    <xf numFmtId="3" fontId="13" fillId="0" borderId="15" xfId="3" applyNumberFormat="1" applyFont="1" applyBorder="1" applyAlignment="1">
      <alignment horizontal="left" vertical="top" wrapText="1"/>
    </xf>
    <xf numFmtId="3" fontId="10" fillId="0" borderId="5" xfId="3" applyNumberFormat="1" applyFont="1" applyBorder="1">
      <alignment vertical="top"/>
    </xf>
    <xf numFmtId="3" fontId="10" fillId="0" borderId="15" xfId="3" applyNumberFormat="1" applyFont="1" applyBorder="1">
      <alignment vertical="top"/>
    </xf>
    <xf numFmtId="9" fontId="13" fillId="0" borderId="15" xfId="3" applyNumberFormat="1" applyFont="1" applyBorder="1">
      <alignment vertical="top"/>
    </xf>
    <xf numFmtId="3" fontId="13" fillId="0" borderId="35" xfId="3" applyNumberFormat="1" applyFont="1" applyBorder="1" applyAlignment="1">
      <alignment horizontal="left" vertical="center"/>
    </xf>
    <xf numFmtId="3" fontId="10" fillId="0" borderId="8" xfId="3" applyNumberFormat="1" applyFont="1" applyBorder="1">
      <alignment vertical="top"/>
    </xf>
    <xf numFmtId="3" fontId="13" fillId="2" borderId="27" xfId="3" applyNumberFormat="1" applyFont="1" applyFill="1" applyBorder="1" applyAlignment="1" applyProtection="1">
      <alignment horizontal="center" vertical="top"/>
      <protection locked="0"/>
    </xf>
    <xf numFmtId="3" fontId="10" fillId="2" borderId="5" xfId="3" applyNumberFormat="1" applyFont="1" applyFill="1" applyBorder="1" applyProtection="1">
      <alignment vertical="top"/>
      <protection locked="0"/>
    </xf>
    <xf numFmtId="1" fontId="16" fillId="0" borderId="3" xfId="3" applyNumberFormat="1" applyFont="1" applyBorder="1" applyAlignment="1">
      <alignment horizontal="centerContinuous" vertical="center"/>
    </xf>
    <xf numFmtId="3" fontId="24" fillId="0" borderId="4" xfId="3" applyNumberFormat="1" applyFont="1" applyBorder="1" applyAlignment="1">
      <alignment horizontal="left" vertical="top" wrapText="1"/>
    </xf>
    <xf numFmtId="4" fontId="24" fillId="0" borderId="5" xfId="3" applyNumberFormat="1" applyFont="1" applyBorder="1" applyAlignment="1">
      <alignment horizontal="right" vertical="top"/>
    </xf>
    <xf numFmtId="3" fontId="10" fillId="2" borderId="15" xfId="3" applyNumberFormat="1" applyFont="1" applyFill="1" applyBorder="1" applyAlignment="1" applyProtection="1">
      <alignment vertical="top" wrapText="1"/>
      <protection locked="0"/>
    </xf>
    <xf numFmtId="3" fontId="10" fillId="0" borderId="16" xfId="3" applyNumberFormat="1" applyFont="1" applyBorder="1">
      <alignment vertical="top"/>
    </xf>
    <xf numFmtId="3" fontId="22" fillId="0" borderId="0" xfId="3" applyNumberFormat="1" applyFont="1" applyAlignment="1">
      <alignment horizontal="left" vertical="top" wrapText="1"/>
    </xf>
    <xf numFmtId="3" fontId="22" fillId="0" borderId="4" xfId="3" applyNumberFormat="1" applyFont="1" applyBorder="1" applyAlignment="1">
      <alignment horizontal="left" vertical="center" wrapText="1"/>
    </xf>
    <xf numFmtId="3" fontId="13" fillId="0" borderId="4" xfId="3" applyNumberFormat="1" applyFont="1" applyBorder="1" applyAlignment="1">
      <alignment vertical="center"/>
    </xf>
    <xf numFmtId="3" fontId="10" fillId="0" borderId="5" xfId="3" applyNumberFormat="1" applyFont="1" applyBorder="1" applyAlignment="1">
      <alignment horizontal="right" vertical="center"/>
    </xf>
    <xf numFmtId="3" fontId="23" fillId="4" borderId="4" xfId="3" applyNumberFormat="1" applyFont="1" applyFill="1" applyBorder="1" applyAlignment="1">
      <alignment horizontal="centerContinuous" vertical="top" wrapText="1"/>
    </xf>
    <xf numFmtId="3" fontId="20" fillId="4" borderId="0" xfId="3" applyNumberFormat="1" applyFont="1" applyFill="1" applyAlignment="1">
      <alignment horizontal="centerContinuous" vertical="top" wrapText="1"/>
    </xf>
    <xf numFmtId="3" fontId="20" fillId="4" borderId="5" xfId="3" applyNumberFormat="1" applyFont="1" applyFill="1" applyBorder="1" applyAlignment="1">
      <alignment horizontal="centerContinuous" vertical="top" wrapText="1"/>
    </xf>
    <xf numFmtId="3" fontId="23" fillId="4" borderId="4" xfId="3" applyNumberFormat="1" applyFont="1" applyFill="1" applyBorder="1" applyAlignment="1">
      <alignment horizontal="centerContinuous" vertical="center"/>
    </xf>
    <xf numFmtId="3" fontId="10" fillId="4" borderId="0" xfId="3" applyNumberFormat="1" applyFont="1" applyFill="1" applyAlignment="1">
      <alignment horizontal="centerContinuous" vertical="top"/>
    </xf>
    <xf numFmtId="3" fontId="13" fillId="4" borderId="5" xfId="3" applyNumberFormat="1" applyFont="1" applyFill="1" applyBorder="1" applyAlignment="1">
      <alignment horizontal="centerContinuous" vertical="top"/>
    </xf>
    <xf numFmtId="3" fontId="16" fillId="0" borderId="0" xfId="3" applyNumberFormat="1" applyFont="1" applyAlignment="1">
      <alignment horizontal="centerContinuous" vertical="center" wrapText="1"/>
    </xf>
    <xf numFmtId="3" fontId="16" fillId="0" borderId="36" xfId="3" applyNumberFormat="1" applyFont="1" applyBorder="1" applyAlignment="1">
      <alignment horizontal="right" vertical="center" wrapText="1"/>
    </xf>
    <xf numFmtId="3" fontId="19" fillId="0" borderId="4" xfId="3" applyNumberFormat="1" applyFont="1" applyBorder="1" applyAlignment="1">
      <alignment horizontal="centerContinuous" vertical="center" wrapText="1"/>
    </xf>
    <xf numFmtId="3" fontId="22" fillId="0" borderId="0" xfId="3" applyNumberFormat="1" applyFont="1" applyAlignment="1">
      <alignment horizontal="left" vertical="center" wrapText="1"/>
    </xf>
    <xf numFmtId="3" fontId="24" fillId="0" borderId="0" xfId="3" applyNumberFormat="1" applyFont="1" applyAlignment="1">
      <alignment horizontal="right" vertical="top" wrapText="1"/>
    </xf>
    <xf numFmtId="3" fontId="10" fillId="0" borderId="4" xfId="3" applyNumberFormat="1" applyFont="1" applyBorder="1" applyAlignment="1">
      <alignment vertical="top" wrapText="1"/>
    </xf>
    <xf numFmtId="167" fontId="13" fillId="0" borderId="5" xfId="3" applyNumberFormat="1" applyFont="1" applyBorder="1" applyAlignment="1">
      <alignment horizontal="right" vertical="top"/>
    </xf>
    <xf numFmtId="3" fontId="13" fillId="0" borderId="0" xfId="3" applyNumberFormat="1" applyFont="1" applyAlignment="1">
      <alignment horizontal="right" vertical="top" wrapText="1"/>
    </xf>
    <xf numFmtId="3" fontId="16" fillId="2" borderId="32" xfId="3" applyNumberFormat="1" applyFont="1" applyFill="1" applyBorder="1" applyAlignment="1" applyProtection="1">
      <alignment horizontal="center" vertical="center"/>
      <protection locked="0"/>
    </xf>
    <xf numFmtId="3" fontId="10" fillId="0" borderId="33" xfId="3" applyNumberFormat="1" applyFont="1" applyBorder="1" applyAlignment="1">
      <alignment horizontal="left" vertical="top"/>
    </xf>
    <xf numFmtId="3" fontId="10" fillId="0" borderId="33" xfId="3" applyNumberFormat="1" applyFont="1" applyBorder="1">
      <alignment vertical="top"/>
    </xf>
    <xf numFmtId="3" fontId="10" fillId="0" borderId="34" xfId="3" applyNumberFormat="1" applyFont="1" applyBorder="1">
      <alignment vertical="top"/>
    </xf>
    <xf numFmtId="3" fontId="13" fillId="0" borderId="34" xfId="3" applyNumberFormat="1" applyFont="1" applyBorder="1" applyAlignment="1">
      <alignment horizontal="left" vertical="top" wrapText="1"/>
    </xf>
    <xf numFmtId="3" fontId="10" fillId="0" borderId="34" xfId="3" applyNumberFormat="1" applyFont="1" applyBorder="1" applyAlignment="1">
      <alignment horizontal="left" vertical="top" wrapText="1"/>
    </xf>
    <xf numFmtId="3" fontId="12" fillId="0" borderId="34" xfId="3" applyNumberFormat="1" applyFont="1" applyBorder="1" applyAlignment="1">
      <alignment horizontal="left" vertical="top" wrapText="1"/>
    </xf>
    <xf numFmtId="3" fontId="12" fillId="0" borderId="35" xfId="3" applyNumberFormat="1" applyFont="1" applyBorder="1" applyAlignment="1">
      <alignment horizontal="left" vertical="top" wrapText="1"/>
    </xf>
    <xf numFmtId="3" fontId="13" fillId="0" borderId="38" xfId="3" applyNumberFormat="1" applyFont="1" applyBorder="1">
      <alignment vertical="top"/>
    </xf>
    <xf numFmtId="167" fontId="13" fillId="0" borderId="15" xfId="3" applyNumberFormat="1" applyFont="1" applyBorder="1" applyAlignment="1">
      <alignment horizontal="right" vertical="center" wrapText="1"/>
    </xf>
    <xf numFmtId="3" fontId="10" fillId="0" borderId="5" xfId="3" applyNumberFormat="1" applyFont="1" applyBorder="1" applyAlignment="1">
      <alignment vertical="center"/>
    </xf>
    <xf numFmtId="3" fontId="26" fillId="0" borderId="34" xfId="3" applyNumberFormat="1" applyFont="1" applyBorder="1" applyAlignment="1">
      <alignment horizontal="left" vertical="center" wrapText="1"/>
    </xf>
    <xf numFmtId="3" fontId="27" fillId="0" borderId="0" xfId="3" applyNumberFormat="1" applyFont="1" applyAlignment="1">
      <alignment horizontal="left" vertical="center"/>
    </xf>
    <xf numFmtId="3" fontId="27" fillId="0" borderId="0" xfId="3" applyNumberFormat="1" applyFont="1" applyAlignment="1">
      <alignment horizontal="right" vertical="center"/>
    </xf>
    <xf numFmtId="3" fontId="27" fillId="2" borderId="0" xfId="3" applyNumberFormat="1" applyFont="1" applyFill="1" applyAlignment="1">
      <alignment vertical="center"/>
    </xf>
    <xf numFmtId="3" fontId="27" fillId="3" borderId="0" xfId="3" applyNumberFormat="1" applyFont="1" applyFill="1" applyAlignment="1">
      <alignment vertical="center"/>
    </xf>
    <xf numFmtId="4" fontId="13" fillId="0" borderId="15" xfId="3" applyNumberFormat="1" applyFont="1" applyBorder="1">
      <alignment vertical="top"/>
    </xf>
    <xf numFmtId="3" fontId="28" fillId="0" borderId="0" xfId="3" applyNumberFormat="1" applyFont="1">
      <alignment vertical="top"/>
    </xf>
    <xf numFmtId="172" fontId="28" fillId="0" borderId="0" xfId="3" applyNumberFormat="1" applyFont="1">
      <alignment vertical="top"/>
    </xf>
    <xf numFmtId="3" fontId="28" fillId="0" borderId="0" xfId="3" applyNumberFormat="1" applyFont="1" applyAlignment="1">
      <alignment vertical="top" wrapText="1"/>
    </xf>
    <xf numFmtId="3" fontId="28" fillId="0" borderId="0" xfId="3" applyNumberFormat="1" applyFont="1" applyAlignment="1">
      <alignment horizontal="center" vertical="top" wrapText="1"/>
    </xf>
    <xf numFmtId="165" fontId="28" fillId="0" borderId="0" xfId="3" applyNumberFormat="1" applyFont="1" applyAlignment="1">
      <alignment horizontal="right" vertical="top"/>
    </xf>
    <xf numFmtId="3" fontId="28" fillId="0" borderId="0" xfId="3" applyNumberFormat="1" applyFont="1" applyAlignment="1">
      <alignment horizontal="center" vertical="top"/>
    </xf>
    <xf numFmtId="3" fontId="25" fillId="0" borderId="0" xfId="3" applyNumberFormat="1" applyFont="1">
      <alignment vertical="top"/>
    </xf>
    <xf numFmtId="3" fontId="25" fillId="0" borderId="0" xfId="3" applyNumberFormat="1" applyFont="1" applyAlignment="1">
      <alignment horizontal="center" vertical="top"/>
    </xf>
    <xf numFmtId="4" fontId="13" fillId="0" borderId="0" xfId="3" applyNumberFormat="1" applyFont="1">
      <alignment vertical="top"/>
    </xf>
    <xf numFmtId="3" fontId="13" fillId="0" borderId="7" xfId="3" applyNumberFormat="1" applyFont="1" applyBorder="1">
      <alignment vertical="top"/>
    </xf>
    <xf numFmtId="3" fontId="13" fillId="0" borderId="4" xfId="3" applyNumberFormat="1" applyFont="1" applyBorder="1" applyAlignment="1">
      <alignment horizontal="left" vertical="top" wrapText="1"/>
    </xf>
    <xf numFmtId="3" fontId="13" fillId="0" borderId="5" xfId="3" applyNumberFormat="1" applyFont="1" applyBorder="1" applyAlignment="1">
      <alignment horizontal="left" vertical="top" wrapText="1"/>
    </xf>
    <xf numFmtId="3" fontId="27" fillId="6" borderId="0" xfId="3" applyNumberFormat="1" applyFont="1" applyFill="1" applyAlignment="1">
      <alignment vertical="center"/>
    </xf>
    <xf numFmtId="3" fontId="10" fillId="0" borderId="5" xfId="3" applyNumberFormat="1" applyFont="1" applyBorder="1" applyAlignment="1">
      <alignment vertical="top" wrapText="1"/>
    </xf>
    <xf numFmtId="3" fontId="10" fillId="0" borderId="4" xfId="3" applyNumberFormat="1" applyFont="1" applyBorder="1" applyAlignment="1">
      <alignment horizontal="right" vertical="top" wrapText="1"/>
    </xf>
    <xf numFmtId="3" fontId="10" fillId="0" borderId="6" xfId="3" applyNumberFormat="1" applyFont="1" applyBorder="1" applyAlignment="1">
      <alignment horizontal="right" vertical="top" wrapText="1"/>
    </xf>
    <xf numFmtId="3" fontId="10" fillId="0" borderId="8" xfId="3" applyNumberFormat="1" applyFont="1" applyBorder="1" applyAlignment="1">
      <alignment horizontal="right" vertical="top" wrapText="1"/>
    </xf>
    <xf numFmtId="3" fontId="27" fillId="0" borderId="0" xfId="3" applyNumberFormat="1" applyFont="1">
      <alignment vertical="top"/>
    </xf>
    <xf numFmtId="3" fontId="27" fillId="0" borderId="42" xfId="3" applyNumberFormat="1" applyFont="1" applyBorder="1">
      <alignment vertical="top"/>
    </xf>
    <xf numFmtId="4" fontId="27" fillId="0" borderId="0" xfId="3" applyNumberFormat="1" applyFont="1">
      <alignment vertical="top"/>
    </xf>
    <xf numFmtId="3" fontId="27" fillId="0" borderId="0" xfId="3" applyNumberFormat="1" applyFont="1" applyAlignment="1">
      <alignment horizontal="right" vertical="top"/>
    </xf>
    <xf numFmtId="4" fontId="27" fillId="0" borderId="0" xfId="3" applyNumberFormat="1" applyFont="1" applyAlignment="1">
      <alignment horizontal="center" vertical="top"/>
    </xf>
    <xf numFmtId="3" fontId="30" fillId="5" borderId="43" xfId="3" applyNumberFormat="1" applyFont="1" applyFill="1" applyBorder="1" applyAlignment="1">
      <alignment vertical="center"/>
    </xf>
    <xf numFmtId="2" fontId="13" fillId="0" borderId="0" xfId="3" applyNumberFormat="1" applyFont="1" applyAlignment="1">
      <alignment vertical="center"/>
    </xf>
    <xf numFmtId="3" fontId="13" fillId="0" borderId="0" xfId="3" applyNumberFormat="1" applyFont="1" applyAlignment="1">
      <alignment vertical="center"/>
    </xf>
    <xf numFmtId="3" fontId="30" fillId="5" borderId="45" xfId="3" applyNumberFormat="1" applyFont="1" applyFill="1" applyBorder="1" applyAlignment="1">
      <alignment vertical="center"/>
    </xf>
    <xf numFmtId="3" fontId="19" fillId="0" borderId="0" xfId="3" applyNumberFormat="1" applyFont="1" applyAlignment="1">
      <alignment horizontal="centerContinuous" vertical="top"/>
    </xf>
    <xf numFmtId="3" fontId="9" fillId="0" borderId="0" xfId="3" applyNumberFormat="1" applyFont="1" applyAlignment="1">
      <alignment horizontal="centerContinuous" vertical="top"/>
    </xf>
    <xf numFmtId="3" fontId="10" fillId="0" borderId="0" xfId="3" applyNumberFormat="1" applyFont="1" applyAlignment="1">
      <alignment horizontal="centerContinuous" vertical="top"/>
    </xf>
    <xf numFmtId="4" fontId="10" fillId="0" borderId="0" xfId="3" applyNumberFormat="1" applyFont="1" applyAlignment="1">
      <alignment horizontal="centerContinuous" vertical="top"/>
    </xf>
    <xf numFmtId="1" fontId="19" fillId="0" borderId="0" xfId="3" applyNumberFormat="1" applyFont="1">
      <alignment vertical="top"/>
    </xf>
    <xf numFmtId="3" fontId="19" fillId="0" borderId="0" xfId="3" applyNumberFormat="1" applyFont="1" applyAlignment="1">
      <alignment horizontal="right" vertical="top"/>
    </xf>
    <xf numFmtId="3" fontId="27" fillId="0" borderId="4" xfId="3" applyNumberFormat="1" applyFont="1" applyBorder="1">
      <alignment vertical="top"/>
    </xf>
    <xf numFmtId="3" fontId="27" fillId="0" borderId="5" xfId="3" applyNumberFormat="1" applyFont="1" applyBorder="1" applyAlignment="1">
      <alignment horizontal="right" vertical="top"/>
    </xf>
    <xf numFmtId="3" fontId="30" fillId="5" borderId="6" xfId="3" applyNumberFormat="1" applyFont="1" applyFill="1" applyBorder="1" applyAlignment="1">
      <alignment vertical="center"/>
    </xf>
    <xf numFmtId="3" fontId="30" fillId="5" borderId="7" xfId="3" applyNumberFormat="1" applyFont="1" applyFill="1" applyBorder="1" applyAlignment="1">
      <alignment vertical="center"/>
    </xf>
    <xf numFmtId="3" fontId="30" fillId="5" borderId="7" xfId="3" applyNumberFormat="1" applyFont="1" applyFill="1" applyBorder="1" applyAlignment="1">
      <alignment horizontal="right" vertical="center"/>
    </xf>
    <xf numFmtId="3" fontId="30" fillId="5" borderId="8" xfId="3" applyNumberFormat="1" applyFont="1" applyFill="1" applyBorder="1" applyAlignment="1">
      <alignment horizontal="right" vertical="center"/>
    </xf>
    <xf numFmtId="3" fontId="27" fillId="7" borderId="46" xfId="3" applyNumberFormat="1" applyFont="1" applyFill="1" applyBorder="1" applyProtection="1">
      <alignment vertical="top"/>
      <protection locked="0"/>
    </xf>
    <xf numFmtId="3" fontId="31" fillId="7" borderId="46" xfId="3" applyNumberFormat="1" applyFont="1" applyFill="1" applyBorder="1" applyProtection="1">
      <alignment vertical="top"/>
      <protection locked="0"/>
    </xf>
    <xf numFmtId="3" fontId="30" fillId="0" borderId="1" xfId="3" applyNumberFormat="1" applyFont="1" applyBorder="1" applyAlignment="1">
      <alignment vertical="center"/>
    </xf>
    <xf numFmtId="3" fontId="27" fillId="0" borderId="2" xfId="3" applyNumberFormat="1" applyFont="1" applyBorder="1" applyAlignment="1">
      <alignment vertical="center"/>
    </xf>
    <xf numFmtId="3" fontId="27" fillId="0" borderId="2" xfId="3" applyNumberFormat="1" applyFont="1" applyBorder="1" applyAlignment="1">
      <alignment horizontal="right" vertical="center"/>
    </xf>
    <xf numFmtId="3" fontId="27" fillId="0" borderId="3" xfId="3" applyNumberFormat="1" applyFont="1" applyBorder="1" applyAlignment="1">
      <alignment horizontal="right" vertical="center"/>
    </xf>
    <xf numFmtId="3" fontId="27" fillId="0" borderId="3" xfId="3" applyNumberFormat="1" applyFont="1" applyBorder="1" applyAlignment="1">
      <alignment vertical="center"/>
    </xf>
    <xf numFmtId="3" fontId="30" fillId="5" borderId="0" xfId="3" applyNumberFormat="1" applyFont="1" applyFill="1" applyAlignment="1">
      <alignment vertical="center"/>
    </xf>
    <xf numFmtId="3" fontId="30" fillId="0" borderId="0" xfId="3" applyNumberFormat="1" applyFont="1" applyAlignment="1">
      <alignment vertical="center"/>
    </xf>
    <xf numFmtId="3" fontId="32" fillId="0" borderId="0" xfId="3" applyNumberFormat="1" applyFont="1">
      <alignment vertical="top"/>
    </xf>
    <xf numFmtId="3" fontId="10" fillId="2" borderId="12" xfId="3" applyNumberFormat="1" applyFont="1" applyFill="1" applyBorder="1" applyAlignment="1" applyProtection="1">
      <alignment horizontal="right" vertical="top" wrapText="1"/>
      <protection locked="0"/>
    </xf>
    <xf numFmtId="3" fontId="10" fillId="2" borderId="18" xfId="3" applyNumberFormat="1" applyFont="1" applyFill="1" applyBorder="1" applyAlignment="1" applyProtection="1">
      <alignment horizontal="right" vertical="top" wrapText="1"/>
      <protection locked="0"/>
    </xf>
    <xf numFmtId="173" fontId="13" fillId="0" borderId="0" xfId="3" applyNumberFormat="1" applyFont="1">
      <alignment vertical="top"/>
    </xf>
    <xf numFmtId="10" fontId="13" fillId="0" borderId="0" xfId="3" applyNumberFormat="1" applyFont="1">
      <alignment vertical="top"/>
    </xf>
    <xf numFmtId="167" fontId="33" fillId="0" borderId="17" xfId="0" applyNumberFormat="1" applyFont="1" applyBorder="1"/>
    <xf numFmtId="3" fontId="6" fillId="0" borderId="11" xfId="0" applyNumberFormat="1" applyFont="1" applyBorder="1"/>
    <xf numFmtId="3" fontId="7" fillId="0" borderId="31" xfId="0" applyNumberFormat="1" applyFont="1" applyBorder="1"/>
    <xf numFmtId="9" fontId="34" fillId="0" borderId="0" xfId="3" applyNumberFormat="1" applyFont="1">
      <alignment vertical="top"/>
    </xf>
    <xf numFmtId="3" fontId="35" fillId="0" borderId="0" xfId="3" applyNumberFormat="1" applyFont="1">
      <alignment vertical="top"/>
    </xf>
    <xf numFmtId="3" fontId="34" fillId="0" borderId="0" xfId="3" applyNumberFormat="1" applyFont="1">
      <alignment vertical="top"/>
    </xf>
    <xf numFmtId="4" fontId="32" fillId="0" borderId="0" xfId="3" applyNumberFormat="1" applyFont="1">
      <alignment vertical="top"/>
    </xf>
    <xf numFmtId="0" fontId="36" fillId="7" borderId="0" xfId="0" applyFont="1" applyFill="1" applyAlignment="1" applyProtection="1">
      <alignment horizontal="right" vertical="center"/>
      <protection locked="0"/>
    </xf>
    <xf numFmtId="3" fontId="10" fillId="0" borderId="4" xfId="3" applyNumberFormat="1" applyFont="1" applyBorder="1" applyAlignment="1">
      <alignment vertical="center" wrapText="1"/>
    </xf>
    <xf numFmtId="3" fontId="10" fillId="0" borderId="0" xfId="3" applyNumberFormat="1" applyFont="1" applyAlignment="1">
      <alignment vertical="center" wrapText="1"/>
    </xf>
    <xf numFmtId="3" fontId="23" fillId="0" borderId="4" xfId="3" applyNumberFormat="1" applyFont="1" applyBorder="1" applyAlignment="1">
      <alignment horizontal="centerContinuous" vertical="top" wrapText="1"/>
    </xf>
    <xf numFmtId="3" fontId="23" fillId="0" borderId="15" xfId="3" applyNumberFormat="1" applyFont="1" applyBorder="1" applyAlignment="1">
      <alignment horizontal="centerContinuous" vertical="top" wrapText="1"/>
    </xf>
    <xf numFmtId="3" fontId="20" fillId="0" borderId="0" xfId="3" applyNumberFormat="1" applyFont="1" applyAlignment="1">
      <alignment horizontal="centerContinuous" vertical="top" wrapText="1"/>
    </xf>
    <xf numFmtId="3" fontId="20" fillId="0" borderId="5" xfId="3" applyNumberFormat="1" applyFont="1" applyBorder="1" applyAlignment="1">
      <alignment horizontal="centerContinuous" vertical="top" wrapText="1"/>
    </xf>
    <xf numFmtId="3" fontId="38" fillId="8" borderId="41" xfId="3" applyNumberFormat="1" applyFont="1" applyFill="1" applyBorder="1" applyAlignment="1">
      <alignment vertical="center"/>
    </xf>
    <xf numFmtId="3" fontId="31" fillId="8" borderId="44" xfId="3" applyNumberFormat="1" applyFont="1" applyFill="1" applyBorder="1" applyAlignment="1">
      <alignment vertical="center"/>
    </xf>
    <xf numFmtId="3" fontId="30" fillId="8" borderId="41" xfId="3" applyNumberFormat="1" applyFont="1" applyFill="1" applyBorder="1" applyAlignment="1">
      <alignment vertical="center"/>
    </xf>
    <xf numFmtId="3" fontId="27" fillId="8" borderId="44" xfId="3" applyNumberFormat="1" applyFont="1" applyFill="1" applyBorder="1" applyAlignment="1">
      <alignment vertical="center"/>
    </xf>
    <xf numFmtId="3" fontId="37" fillId="7" borderId="52" xfId="3" applyNumberFormat="1" applyFont="1" applyFill="1" applyBorder="1" applyAlignment="1">
      <alignment horizontal="right" vertical="center"/>
    </xf>
    <xf numFmtId="4" fontId="39" fillId="7" borderId="51" xfId="3" applyNumberFormat="1" applyFont="1" applyFill="1" applyBorder="1" applyAlignment="1">
      <alignment horizontal="right" vertical="top" wrapText="1"/>
    </xf>
    <xf numFmtId="3" fontId="10" fillId="9" borderId="12" xfId="3" applyNumberFormat="1" applyFont="1" applyFill="1" applyBorder="1">
      <alignment vertical="top"/>
    </xf>
    <xf numFmtId="3" fontId="10" fillId="0" borderId="13" xfId="3" applyNumberFormat="1" applyFont="1" applyBorder="1">
      <alignment vertical="top"/>
    </xf>
    <xf numFmtId="3" fontId="10" fillId="0" borderId="18" xfId="3" applyNumberFormat="1" applyFont="1" applyBorder="1">
      <alignment vertical="top"/>
    </xf>
    <xf numFmtId="3" fontId="13" fillId="11" borderId="5" xfId="3" applyNumberFormat="1" applyFont="1" applyFill="1" applyBorder="1" applyAlignment="1">
      <alignment horizontal="right" vertical="top" wrapText="1"/>
    </xf>
    <xf numFmtId="3" fontId="22" fillId="11" borderId="5" xfId="3" applyNumberFormat="1" applyFont="1" applyFill="1" applyBorder="1" applyAlignment="1">
      <alignment horizontal="right" vertical="center" wrapText="1"/>
    </xf>
    <xf numFmtId="3" fontId="22" fillId="11" borderId="5" xfId="3" applyNumberFormat="1" applyFont="1" applyFill="1" applyBorder="1" applyAlignment="1">
      <alignment horizontal="right" vertical="center"/>
    </xf>
    <xf numFmtId="3" fontId="13" fillId="10" borderId="5" xfId="3" applyNumberFormat="1" applyFont="1" applyFill="1" applyBorder="1" applyAlignment="1">
      <alignment horizontal="right" vertical="center" wrapText="1"/>
    </xf>
    <xf numFmtId="3" fontId="10" fillId="0" borderId="24" xfId="3" applyNumberFormat="1" applyFont="1" applyBorder="1">
      <alignment vertical="top"/>
    </xf>
    <xf numFmtId="173" fontId="10" fillId="0" borderId="0" xfId="3" applyNumberFormat="1" applyFont="1">
      <alignment vertical="top"/>
    </xf>
    <xf numFmtId="169" fontId="10" fillId="0" borderId="0" xfId="3" applyNumberFormat="1" applyFont="1">
      <alignment vertical="top"/>
    </xf>
    <xf numFmtId="3" fontId="13" fillId="0" borderId="25" xfId="3" applyNumberFormat="1" applyFont="1" applyBorder="1">
      <alignment vertical="top"/>
    </xf>
    <xf numFmtId="3" fontId="10" fillId="0" borderId="19" xfId="3" applyNumberFormat="1" applyFont="1" applyBorder="1">
      <alignment vertical="top"/>
    </xf>
    <xf numFmtId="3" fontId="13" fillId="0" borderId="16" xfId="3" applyNumberFormat="1" applyFont="1" applyBorder="1" applyAlignment="1">
      <alignment horizontal="left" vertical="center"/>
    </xf>
    <xf numFmtId="3" fontId="10" fillId="13" borderId="0" xfId="3" applyNumberFormat="1" applyFont="1" applyFill="1" applyAlignment="1">
      <alignment horizontal="right" vertical="top"/>
    </xf>
    <xf numFmtId="3" fontId="10" fillId="13" borderId="0" xfId="3" applyNumberFormat="1" applyFont="1" applyFill="1">
      <alignment vertical="top"/>
    </xf>
    <xf numFmtId="169" fontId="10" fillId="13" borderId="0" xfId="3" applyNumberFormat="1" applyFont="1" applyFill="1" applyAlignment="1">
      <alignment horizontal="right" vertical="top" wrapText="1"/>
    </xf>
    <xf numFmtId="167" fontId="13" fillId="13" borderId="0" xfId="3" applyNumberFormat="1" applyFont="1" applyFill="1" applyAlignment="1">
      <alignment horizontal="center" vertical="center" wrapText="1"/>
    </xf>
    <xf numFmtId="9" fontId="13" fillId="13" borderId="0" xfId="3" applyNumberFormat="1" applyFont="1" applyFill="1">
      <alignment vertical="top"/>
    </xf>
    <xf numFmtId="170" fontId="25" fillId="13" borderId="53" xfId="3" applyNumberFormat="1" applyFont="1" applyFill="1" applyBorder="1" applyAlignment="1">
      <alignment horizontal="right" vertical="top"/>
    </xf>
    <xf numFmtId="3" fontId="25" fillId="13" borderId="54" xfId="3" applyNumberFormat="1" applyFont="1" applyFill="1" applyBorder="1">
      <alignment vertical="top"/>
    </xf>
    <xf numFmtId="3" fontId="34" fillId="13" borderId="0" xfId="3" applyNumberFormat="1" applyFont="1" applyFill="1" applyAlignment="1">
      <alignment horizontal="right" vertical="center" wrapText="1"/>
    </xf>
    <xf numFmtId="3" fontId="34" fillId="12" borderId="0" xfId="3" applyNumberFormat="1" applyFont="1" applyFill="1" applyAlignment="1">
      <alignment horizontal="right" vertical="top" wrapText="1"/>
    </xf>
    <xf numFmtId="3" fontId="13" fillId="0" borderId="34" xfId="3" applyNumberFormat="1" applyFont="1" applyBorder="1" applyAlignment="1">
      <alignment horizontal="left" vertical="center" wrapText="1"/>
    </xf>
    <xf numFmtId="4" fontId="13" fillId="0" borderId="15" xfId="3" applyNumberFormat="1" applyFont="1" applyBorder="1" applyAlignment="1">
      <alignment vertical="center"/>
    </xf>
    <xf numFmtId="169" fontId="10" fillId="13" borderId="0" xfId="3" applyNumberFormat="1" applyFont="1" applyFill="1" applyAlignment="1">
      <alignment horizontal="right" vertical="center" wrapText="1"/>
    </xf>
    <xf numFmtId="3" fontId="10" fillId="7" borderId="0" xfId="3" applyNumberFormat="1" applyFont="1" applyFill="1" applyAlignment="1" applyProtection="1">
      <alignment vertical="center"/>
      <protection locked="0"/>
    </xf>
    <xf numFmtId="3" fontId="32" fillId="0" borderId="4" xfId="3" applyNumberFormat="1" applyFont="1" applyBorder="1" applyAlignment="1">
      <alignment horizontal="left" vertical="top" wrapText="1"/>
    </xf>
    <xf numFmtId="3" fontId="32" fillId="0" borderId="5" xfId="3" applyNumberFormat="1" applyFont="1" applyBorder="1" applyAlignment="1">
      <alignment horizontal="left" vertical="top" wrapText="1"/>
    </xf>
    <xf numFmtId="3" fontId="32" fillId="0" borderId="34" xfId="3" applyNumberFormat="1" applyFont="1" applyBorder="1" applyAlignment="1">
      <alignment horizontal="left" vertical="top" wrapText="1"/>
    </xf>
    <xf numFmtId="2" fontId="13" fillId="0" borderId="15" xfId="3" applyNumberFormat="1" applyFont="1" applyBorder="1">
      <alignment vertical="top"/>
    </xf>
    <xf numFmtId="0" fontId="42" fillId="15" borderId="0" xfId="7" applyFont="1" applyFill="1" applyAlignment="1">
      <alignment horizontal="right"/>
    </xf>
    <xf numFmtId="0" fontId="46" fillId="15" borderId="0" xfId="7" applyFont="1" applyFill="1" applyAlignment="1">
      <alignment horizontal="center"/>
    </xf>
    <xf numFmtId="0" fontId="42" fillId="15" borderId="0" xfId="7" applyFont="1" applyFill="1"/>
    <xf numFmtId="0" fontId="48" fillId="15" borderId="0" xfId="7" applyFont="1" applyFill="1"/>
    <xf numFmtId="0" fontId="50" fillId="15" borderId="13" xfId="7" applyFont="1" applyFill="1" applyBorder="1"/>
    <xf numFmtId="0" fontId="50" fillId="15" borderId="19" xfId="7" applyFont="1" applyFill="1" applyBorder="1"/>
    <xf numFmtId="0" fontId="49" fillId="15" borderId="14" xfId="7" applyFont="1" applyFill="1" applyBorder="1" applyAlignment="1">
      <alignment vertical="center" wrapText="1"/>
    </xf>
    <xf numFmtId="0" fontId="50" fillId="15" borderId="14" xfId="7" applyFont="1" applyFill="1" applyBorder="1" applyAlignment="1">
      <alignment vertical="center" wrapText="1"/>
    </xf>
    <xf numFmtId="0" fontId="50" fillId="15" borderId="14" xfId="7" quotePrefix="1" applyFont="1" applyFill="1" applyBorder="1" applyAlignment="1">
      <alignment vertical="center" wrapText="1"/>
    </xf>
    <xf numFmtId="0" fontId="50" fillId="15" borderId="11" xfId="7" applyFont="1" applyFill="1" applyBorder="1" applyAlignment="1">
      <alignment vertical="center"/>
    </xf>
    <xf numFmtId="0" fontId="50" fillId="15" borderId="18" xfId="7" applyFont="1" applyFill="1" applyBorder="1"/>
    <xf numFmtId="0" fontId="42" fillId="15" borderId="12" xfId="7" applyFont="1" applyFill="1" applyBorder="1"/>
    <xf numFmtId="0" fontId="50" fillId="15" borderId="24" xfId="7" applyFont="1" applyFill="1" applyBorder="1"/>
    <xf numFmtId="0" fontId="48" fillId="15" borderId="13" xfId="7" applyFont="1" applyFill="1" applyBorder="1"/>
    <xf numFmtId="0" fontId="50" fillId="15" borderId="0" xfId="7" applyFont="1" applyFill="1"/>
    <xf numFmtId="0" fontId="48" fillId="15" borderId="16" xfId="7" applyFont="1" applyFill="1" applyBorder="1"/>
    <xf numFmtId="0" fontId="50" fillId="15" borderId="25" xfId="7" applyFont="1" applyFill="1" applyBorder="1"/>
    <xf numFmtId="0" fontId="50" fillId="15" borderId="0" xfId="7" applyFont="1" applyFill="1" applyAlignment="1">
      <alignment vertical="top" wrapText="1"/>
    </xf>
    <xf numFmtId="0" fontId="49" fillId="15" borderId="20" xfId="7" applyFont="1" applyFill="1" applyBorder="1" applyAlignment="1">
      <alignment horizontal="center"/>
    </xf>
    <xf numFmtId="0" fontId="42" fillId="15" borderId="25" xfId="7" applyFont="1" applyFill="1" applyBorder="1"/>
    <xf numFmtId="0" fontId="50" fillId="15" borderId="15" xfId="7" applyFont="1" applyFill="1" applyBorder="1" applyAlignment="1">
      <alignment vertical="center" wrapText="1"/>
    </xf>
    <xf numFmtId="0" fontId="48" fillId="15" borderId="19" xfId="7" applyFont="1" applyFill="1" applyBorder="1"/>
    <xf numFmtId="0" fontId="52" fillId="15" borderId="0" xfId="7" applyFont="1" applyFill="1" applyAlignment="1">
      <alignment horizontal="center" wrapText="1"/>
    </xf>
    <xf numFmtId="0" fontId="50" fillId="15" borderId="0" xfId="7" applyFont="1" applyFill="1" applyAlignment="1">
      <alignment vertical="center"/>
    </xf>
    <xf numFmtId="0" fontId="48" fillId="15" borderId="0" xfId="7" applyFont="1" applyFill="1" applyAlignment="1">
      <alignment vertical="center"/>
    </xf>
    <xf numFmtId="0" fontId="50" fillId="15" borderId="0" xfId="7" applyFont="1" applyFill="1" applyAlignment="1">
      <alignment horizontal="right" vertical="center"/>
    </xf>
    <xf numFmtId="167" fontId="32" fillId="0" borderId="5" xfId="3" applyNumberFormat="1" applyFont="1" applyBorder="1" applyAlignment="1">
      <alignment horizontal="left" vertical="top"/>
    </xf>
    <xf numFmtId="3" fontId="54" fillId="0" borderId="34" xfId="3" applyNumberFormat="1" applyFont="1" applyBorder="1" applyAlignment="1">
      <alignment horizontal="right" vertical="top" wrapText="1"/>
    </xf>
    <xf numFmtId="3" fontId="54" fillId="2" borderId="15" xfId="3" applyNumberFormat="1" applyFont="1" applyFill="1" applyBorder="1" applyProtection="1">
      <alignment vertical="top"/>
      <protection locked="0"/>
    </xf>
    <xf numFmtId="3" fontId="10" fillId="0" borderId="34" xfId="3" applyNumberFormat="1" applyFont="1" applyBorder="1" applyAlignment="1">
      <alignment horizontal="center" vertical="center"/>
    </xf>
    <xf numFmtId="3" fontId="10" fillId="0" borderId="29" xfId="3" applyNumberFormat="1" applyFont="1" applyBorder="1">
      <alignment vertical="top"/>
    </xf>
    <xf numFmtId="0" fontId="2" fillId="0" borderId="0" xfId="10"/>
    <xf numFmtId="0" fontId="0" fillId="0" borderId="0" xfId="9" applyFont="1" applyBorder="1" applyAlignment="1">
      <alignment horizontal="left"/>
    </xf>
    <xf numFmtId="0" fontId="55" fillId="0" borderId="0" xfId="9" applyFont="1" applyBorder="1" applyAlignment="1">
      <alignment horizontal="left"/>
    </xf>
    <xf numFmtId="3" fontId="30" fillId="0" borderId="0" xfId="3" applyNumberFormat="1" applyFont="1" applyAlignment="1">
      <alignment horizontal="right" vertical="center"/>
    </xf>
    <xf numFmtId="3" fontId="30" fillId="0" borderId="56" xfId="3" applyNumberFormat="1" applyFont="1" applyBorder="1" applyAlignment="1">
      <alignment horizontal="right" vertical="center"/>
    </xf>
    <xf numFmtId="0" fontId="14" fillId="13" borderId="0" xfId="0" applyFont="1" applyFill="1" applyAlignment="1">
      <alignment horizontal="right"/>
    </xf>
    <xf numFmtId="0" fontId="15" fillId="0" borderId="0" xfId="0" applyFont="1" applyAlignment="1">
      <alignment vertical="center"/>
    </xf>
    <xf numFmtId="0" fontId="15" fillId="0" borderId="29" xfId="0" applyFont="1" applyBorder="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vertical="center"/>
    </xf>
    <xf numFmtId="0" fontId="56" fillId="0" borderId="27" xfId="0" applyFont="1" applyBorder="1" applyAlignment="1">
      <alignment vertical="center"/>
    </xf>
    <xf numFmtId="0" fontId="56" fillId="0" borderId="9" xfId="0" applyFont="1" applyBorder="1" applyAlignment="1">
      <alignment vertical="center"/>
    </xf>
    <xf numFmtId="0" fontId="15" fillId="13" borderId="0" xfId="0" applyFont="1" applyFill="1" applyAlignment="1">
      <alignment horizontal="right"/>
    </xf>
    <xf numFmtId="0" fontId="14" fillId="7" borderId="0" xfId="0" applyFont="1" applyFill="1" applyAlignment="1">
      <alignment vertical="center"/>
    </xf>
    <xf numFmtId="0" fontId="18" fillId="7" borderId="0" xfId="0" applyFont="1" applyFill="1" applyAlignment="1">
      <alignment horizontal="right" vertical="center"/>
    </xf>
    <xf numFmtId="0" fontId="57" fillId="13" borderId="0" xfId="0" applyFont="1" applyFill="1" applyAlignment="1">
      <alignment horizontal="center"/>
    </xf>
    <xf numFmtId="170" fontId="20" fillId="0" borderId="0" xfId="3" applyNumberFormat="1" applyFont="1" applyAlignment="1"/>
    <xf numFmtId="176" fontId="10" fillId="0" borderId="0" xfId="3" applyNumberFormat="1" applyFont="1" applyAlignment="1">
      <alignment vertical="center"/>
    </xf>
    <xf numFmtId="1" fontId="16" fillId="0" borderId="37" xfId="3" applyNumberFormat="1" applyFont="1" applyBorder="1" applyAlignment="1">
      <alignment horizontal="center" vertical="center"/>
    </xf>
    <xf numFmtId="4" fontId="13" fillId="2" borderId="15" xfId="3" applyNumberFormat="1" applyFont="1" applyFill="1" applyBorder="1" applyAlignment="1" applyProtection="1">
      <alignment horizontal="center" vertical="top"/>
      <protection locked="0"/>
    </xf>
    <xf numFmtId="175" fontId="28" fillId="0" borderId="0" xfId="3" applyNumberFormat="1" applyFont="1">
      <alignment vertical="top"/>
    </xf>
    <xf numFmtId="175" fontId="25" fillId="0" borderId="0" xfId="3" applyNumberFormat="1" applyFont="1">
      <alignment vertical="top"/>
    </xf>
    <xf numFmtId="175" fontId="28" fillId="0" borderId="0" xfId="3" applyNumberFormat="1" applyFont="1" applyAlignment="1">
      <alignment horizontal="right" vertical="top"/>
    </xf>
    <xf numFmtId="175" fontId="32" fillId="0" borderId="0" xfId="3" applyNumberFormat="1" applyFont="1">
      <alignment vertical="top"/>
    </xf>
    <xf numFmtId="175" fontId="10" fillId="0" borderId="0" xfId="3" applyNumberFormat="1" applyFont="1">
      <alignment vertical="top"/>
    </xf>
    <xf numFmtId="175" fontId="13" fillId="0" borderId="0" xfId="3" applyNumberFormat="1" applyFont="1">
      <alignment vertical="top"/>
    </xf>
    <xf numFmtId="1" fontId="16" fillId="0" borderId="39" xfId="3" applyNumberFormat="1" applyFont="1" applyBorder="1" applyAlignment="1">
      <alignment horizontal="centerContinuous" vertical="center"/>
    </xf>
    <xf numFmtId="173" fontId="32" fillId="3" borderId="15" xfId="3" applyNumberFormat="1" applyFont="1" applyFill="1" applyBorder="1">
      <alignment vertical="top"/>
    </xf>
    <xf numFmtId="171" fontId="13" fillId="0" borderId="15" xfId="3" applyNumberFormat="1" applyFont="1" applyBorder="1">
      <alignment vertical="top"/>
    </xf>
    <xf numFmtId="3" fontId="10" fillId="7" borderId="5" xfId="3" applyNumberFormat="1" applyFont="1" applyFill="1" applyBorder="1" applyProtection="1">
      <alignment vertical="top"/>
      <protection locked="0"/>
    </xf>
    <xf numFmtId="3" fontId="13" fillId="6" borderId="40" xfId="3" applyNumberFormat="1" applyFont="1" applyFill="1" applyBorder="1" applyAlignment="1" applyProtection="1">
      <alignment horizontal="center" vertical="top"/>
      <protection locked="0"/>
    </xf>
    <xf numFmtId="166" fontId="13" fillId="6" borderId="40" xfId="3" applyNumberFormat="1" applyFont="1" applyFill="1" applyBorder="1" applyAlignment="1" applyProtection="1">
      <alignment horizontal="center" vertical="top"/>
      <protection locked="0"/>
    </xf>
    <xf numFmtId="0" fontId="40" fillId="14" borderId="13" xfId="2" applyFont="1" applyFill="1" applyBorder="1" applyAlignment="1">
      <alignment vertical="center" wrapText="1"/>
    </xf>
    <xf numFmtId="0" fontId="1" fillId="15" borderId="0" xfId="13" applyFill="1"/>
    <xf numFmtId="0" fontId="1" fillId="11" borderId="1" xfId="13" applyFill="1" applyBorder="1"/>
    <xf numFmtId="0" fontId="1" fillId="11" borderId="2" xfId="13" applyFill="1" applyBorder="1"/>
    <xf numFmtId="0" fontId="1" fillId="11" borderId="3" xfId="13" applyFill="1" applyBorder="1"/>
    <xf numFmtId="0" fontId="42" fillId="11" borderId="5" xfId="2" applyFont="1" applyFill="1" applyBorder="1"/>
    <xf numFmtId="0" fontId="1" fillId="11" borderId="4" xfId="13" applyFill="1" applyBorder="1"/>
    <xf numFmtId="0" fontId="1" fillId="11" borderId="0" xfId="13" applyFill="1"/>
    <xf numFmtId="0" fontId="1" fillId="11" borderId="5" xfId="13" applyFill="1" applyBorder="1"/>
    <xf numFmtId="0" fontId="1" fillId="11" borderId="5" xfId="13" quotePrefix="1" applyFill="1" applyBorder="1" applyAlignment="1">
      <alignment vertical="top" wrapText="1"/>
    </xf>
    <xf numFmtId="0" fontId="1" fillId="15" borderId="0" xfId="13" applyFill="1" applyAlignment="1">
      <alignment horizontal="left" vertical="top" wrapText="1"/>
    </xf>
    <xf numFmtId="0" fontId="43" fillId="11" borderId="5" xfId="13" applyFont="1" applyFill="1" applyBorder="1" applyAlignment="1">
      <alignment vertical="center" wrapText="1"/>
    </xf>
    <xf numFmtId="0" fontId="44" fillId="11" borderId="5" xfId="13" applyFont="1" applyFill="1" applyBorder="1"/>
    <xf numFmtId="0" fontId="1" fillId="11" borderId="6" xfId="13" applyFill="1" applyBorder="1" applyAlignment="1">
      <alignment horizontal="center"/>
    </xf>
    <xf numFmtId="0" fontId="1" fillId="11" borderId="7" xfId="13" applyFill="1" applyBorder="1" applyAlignment="1">
      <alignment horizontal="center"/>
    </xf>
    <xf numFmtId="0" fontId="1" fillId="11" borderId="8" xfId="13" applyFill="1" applyBorder="1" applyAlignment="1">
      <alignment horizontal="center"/>
    </xf>
    <xf numFmtId="0" fontId="45" fillId="15" borderId="0" xfId="13" applyFont="1" applyFill="1"/>
    <xf numFmtId="0" fontId="42" fillId="16" borderId="0" xfId="7" applyFont="1" applyFill="1" applyAlignment="1" applyProtection="1">
      <alignment horizontal="center" shrinkToFit="1"/>
      <protection locked="0"/>
    </xf>
    <xf numFmtId="0" fontId="47" fillId="15" borderId="0" xfId="13" applyFont="1" applyFill="1"/>
    <xf numFmtId="0" fontId="42" fillId="15" borderId="0" xfId="7" applyFont="1" applyFill="1" applyAlignment="1">
      <alignment horizontal="right" shrinkToFit="1"/>
    </xf>
    <xf numFmtId="0" fontId="58" fillId="15" borderId="0" xfId="13" applyFont="1" applyFill="1"/>
    <xf numFmtId="0" fontId="42" fillId="18" borderId="15" xfId="7" applyFont="1" applyFill="1" applyBorder="1"/>
    <xf numFmtId="0" fontId="50" fillId="18" borderId="0" xfId="7" applyFont="1" applyFill="1"/>
    <xf numFmtId="0" fontId="50" fillId="18" borderId="16" xfId="7" applyFont="1" applyFill="1" applyBorder="1"/>
    <xf numFmtId="0" fontId="50" fillId="18" borderId="15" xfId="7" quotePrefix="1" applyFont="1" applyFill="1" applyBorder="1"/>
    <xf numFmtId="0" fontId="50" fillId="18" borderId="0" xfId="7" quotePrefix="1" applyFont="1" applyFill="1"/>
    <xf numFmtId="0" fontId="50" fillId="18" borderId="18" xfId="7" quotePrefix="1" applyFont="1" applyFill="1" applyBorder="1"/>
    <xf numFmtId="0" fontId="50" fillId="18" borderId="25" xfId="7" quotePrefix="1" applyFont="1" applyFill="1" applyBorder="1"/>
    <xf numFmtId="0" fontId="50" fillId="18" borderId="19" xfId="7" applyFont="1" applyFill="1" applyBorder="1"/>
    <xf numFmtId="0" fontId="49" fillId="15" borderId="17" xfId="7" applyFont="1" applyFill="1" applyBorder="1" applyAlignment="1">
      <alignment horizontal="center" vertical="center" wrapText="1"/>
    </xf>
    <xf numFmtId="0" fontId="49" fillId="18" borderId="17" xfId="7" applyFont="1" applyFill="1" applyBorder="1" applyAlignment="1">
      <alignment horizontal="center" vertical="center" wrapText="1"/>
    </xf>
    <xf numFmtId="0" fontId="49" fillId="16" borderId="17" xfId="7" applyFont="1" applyFill="1" applyBorder="1" applyAlignment="1">
      <alignment horizontal="center" vertical="center" wrapText="1"/>
    </xf>
    <xf numFmtId="0" fontId="49" fillId="15" borderId="0" xfId="7" applyFont="1" applyFill="1" applyAlignment="1">
      <alignment horizontal="center" vertical="center" wrapText="1"/>
    </xf>
    <xf numFmtId="0" fontId="49" fillId="11" borderId="17" xfId="7" applyFont="1" applyFill="1" applyBorder="1" applyAlignment="1">
      <alignment horizontal="center" vertical="center" wrapText="1"/>
    </xf>
    <xf numFmtId="0" fontId="1" fillId="15" borderId="0" xfId="13" applyFill="1" applyAlignment="1">
      <alignment wrapText="1"/>
    </xf>
    <xf numFmtId="0" fontId="42" fillId="18" borderId="20" xfId="7" applyFont="1" applyFill="1" applyBorder="1" applyAlignment="1">
      <alignment vertical="center"/>
    </xf>
    <xf numFmtId="0" fontId="49" fillId="18" borderId="20" xfId="7" applyFont="1" applyFill="1" applyBorder="1" applyAlignment="1">
      <alignment horizontal="center" vertical="center" wrapText="1"/>
    </xf>
    <xf numFmtId="174" fontId="49" fillId="16" borderId="20" xfId="14" applyNumberFormat="1" applyFont="1" applyFill="1" applyBorder="1" applyAlignment="1" applyProtection="1">
      <alignment horizontal="center" vertical="center"/>
    </xf>
    <xf numFmtId="0" fontId="50" fillId="15" borderId="0" xfId="7" applyFont="1" applyFill="1" applyAlignment="1">
      <alignment horizontal="center" vertical="center"/>
    </xf>
    <xf numFmtId="174" fontId="49" fillId="11" borderId="20" xfId="14" applyNumberFormat="1" applyFont="1" applyFill="1" applyBorder="1" applyAlignment="1" applyProtection="1">
      <alignment horizontal="center" vertical="center"/>
    </xf>
    <xf numFmtId="174" fontId="50" fillId="12" borderId="14" xfId="14" applyNumberFormat="1" applyFont="1" applyFill="1" applyBorder="1" applyAlignment="1" applyProtection="1">
      <alignment horizontal="center" vertical="center"/>
      <protection locked="0"/>
    </xf>
    <xf numFmtId="174" fontId="50" fillId="16" borderId="14" xfId="14" applyNumberFormat="1" applyFont="1" applyFill="1" applyBorder="1" applyAlignment="1" applyProtection="1">
      <alignment horizontal="center" vertical="center"/>
    </xf>
    <xf numFmtId="174" fontId="50" fillId="15" borderId="0" xfId="14" applyNumberFormat="1" applyFont="1" applyFill="1" applyBorder="1" applyAlignment="1" applyProtection="1">
      <alignment horizontal="center" vertical="center"/>
    </xf>
    <xf numFmtId="174" fontId="50" fillId="11" borderId="14" xfId="14" applyNumberFormat="1" applyFont="1" applyFill="1" applyBorder="1" applyAlignment="1" applyProtection="1">
      <alignment horizontal="center" vertical="center"/>
      <protection locked="0"/>
    </xf>
    <xf numFmtId="0" fontId="49" fillId="19" borderId="20" xfId="7" applyFont="1" applyFill="1" applyBorder="1" applyAlignment="1">
      <alignment vertical="center" wrapText="1"/>
    </xf>
    <xf numFmtId="174" fontId="50" fillId="19" borderId="20" xfId="14" applyNumberFormat="1" applyFont="1" applyFill="1" applyBorder="1" applyAlignment="1" applyProtection="1">
      <alignment horizontal="center" vertical="center"/>
    </xf>
    <xf numFmtId="174" fontId="50" fillId="12" borderId="21" xfId="14" applyNumberFormat="1" applyFont="1" applyFill="1" applyBorder="1" applyAlignment="1" applyProtection="1">
      <alignment horizontal="center" vertical="center"/>
      <protection locked="0"/>
    </xf>
    <xf numFmtId="174" fontId="50" fillId="16" borderId="21" xfId="14" applyNumberFormat="1" applyFont="1" applyFill="1" applyBorder="1" applyAlignment="1" applyProtection="1">
      <alignment horizontal="center" vertical="center"/>
    </xf>
    <xf numFmtId="174" fontId="50" fillId="11" borderId="21" xfId="14" applyNumberFormat="1" applyFont="1" applyFill="1" applyBorder="1" applyAlignment="1" applyProtection="1">
      <alignment horizontal="center" vertical="center"/>
      <protection locked="0"/>
    </xf>
    <xf numFmtId="174" fontId="6" fillId="15" borderId="0" xfId="14" applyNumberFormat="1" applyFont="1" applyFill="1" applyBorder="1" applyAlignment="1" applyProtection="1">
      <alignment horizontal="center" vertical="center"/>
    </xf>
    <xf numFmtId="174" fontId="50" fillId="16" borderId="22" xfId="14" applyNumberFormat="1" applyFont="1" applyFill="1" applyBorder="1" applyAlignment="1" applyProtection="1">
      <alignment horizontal="center" vertical="center"/>
    </xf>
    <xf numFmtId="0" fontId="42" fillId="18" borderId="20" xfId="7" quotePrefix="1" applyFont="1" applyFill="1" applyBorder="1" applyAlignment="1">
      <alignment vertical="center" wrapText="1"/>
    </xf>
    <xf numFmtId="174" fontId="50" fillId="16" borderId="21" xfId="14" applyNumberFormat="1" applyFont="1" applyFill="1" applyBorder="1" applyAlignment="1" applyProtection="1">
      <alignment horizontal="center" vertical="center"/>
      <protection locked="0"/>
    </xf>
    <xf numFmtId="0" fontId="50" fillId="15" borderId="0" xfId="7" applyFont="1" applyFill="1" applyAlignment="1">
      <alignment vertical="center" wrapText="1"/>
    </xf>
    <xf numFmtId="174" fontId="50" fillId="16" borderId="22" xfId="14" applyNumberFormat="1" applyFont="1" applyFill="1" applyBorder="1" applyAlignment="1" applyProtection="1">
      <alignment horizontal="center" vertical="center"/>
      <protection locked="0"/>
    </xf>
    <xf numFmtId="174" fontId="50" fillId="11" borderId="22" xfId="14" applyNumberFormat="1" applyFont="1" applyFill="1" applyBorder="1" applyAlignment="1" applyProtection="1">
      <alignment horizontal="center" vertical="center"/>
      <protection locked="0"/>
    </xf>
    <xf numFmtId="174" fontId="50" fillId="16" borderId="55" xfId="14" applyNumberFormat="1" applyFont="1" applyFill="1" applyBorder="1" applyAlignment="1" applyProtection="1">
      <alignment horizontal="center" vertical="center"/>
      <protection locked="0"/>
    </xf>
    <xf numFmtId="0" fontId="50" fillId="15" borderId="25" xfId="7" applyFont="1" applyFill="1" applyBorder="1" applyAlignment="1">
      <alignment vertical="center" wrapText="1"/>
    </xf>
    <xf numFmtId="174" fontId="50" fillId="11" borderId="55" xfId="14" applyNumberFormat="1" applyFont="1" applyFill="1" applyBorder="1" applyAlignment="1" applyProtection="1">
      <alignment horizontal="center" vertical="center"/>
      <protection locked="0"/>
    </xf>
    <xf numFmtId="174" fontId="50" fillId="16" borderId="59" xfId="14" applyNumberFormat="1" applyFont="1" applyFill="1" applyBorder="1" applyAlignment="1" applyProtection="1">
      <alignment horizontal="center" vertical="center"/>
      <protection locked="0"/>
    </xf>
    <xf numFmtId="174" fontId="50" fillId="16" borderId="61" xfId="14" applyNumberFormat="1" applyFont="1" applyFill="1" applyBorder="1" applyAlignment="1" applyProtection="1">
      <alignment horizontal="center" vertical="center"/>
      <protection locked="0"/>
    </xf>
    <xf numFmtId="174" fontId="50" fillId="11" borderId="23" xfId="14" applyNumberFormat="1" applyFont="1" applyFill="1" applyBorder="1" applyAlignment="1" applyProtection="1">
      <alignment horizontal="center" vertical="center"/>
      <protection locked="0"/>
    </xf>
    <xf numFmtId="0" fontId="49" fillId="9" borderId="57" xfId="7" applyFont="1" applyFill="1" applyBorder="1" applyAlignment="1">
      <alignment horizontal="left" wrapText="1"/>
    </xf>
    <xf numFmtId="0" fontId="1" fillId="9" borderId="56" xfId="13" applyFill="1" applyBorder="1"/>
    <xf numFmtId="174" fontId="49" fillId="9" borderId="58" xfId="14" applyNumberFormat="1" applyFont="1" applyFill="1" applyBorder="1" applyAlignment="1" applyProtection="1">
      <alignment horizontal="center"/>
    </xf>
    <xf numFmtId="174" fontId="49" fillId="9" borderId="26" xfId="14" applyNumberFormat="1" applyFont="1" applyFill="1" applyBorder="1" applyAlignment="1" applyProtection="1">
      <alignment horizontal="center"/>
    </xf>
    <xf numFmtId="174" fontId="49" fillId="15" borderId="0" xfId="14" applyNumberFormat="1" applyFont="1" applyFill="1" applyBorder="1" applyAlignment="1" applyProtection="1">
      <alignment horizontal="center"/>
    </xf>
    <xf numFmtId="0" fontId="50" fillId="18" borderId="17" xfId="7" applyFont="1" applyFill="1" applyBorder="1" applyAlignment="1">
      <alignment vertical="center" wrapText="1"/>
    </xf>
    <xf numFmtId="0" fontId="50" fillId="18" borderId="17" xfId="15" applyNumberFormat="1" applyFont="1" applyFill="1" applyBorder="1" applyAlignment="1" applyProtection="1">
      <alignment vertical="center" wrapText="1"/>
    </xf>
    <xf numFmtId="174" fontId="50" fillId="18" borderId="17" xfId="7" applyNumberFormat="1" applyFont="1" applyFill="1" applyBorder="1" applyAlignment="1">
      <alignment vertical="center"/>
    </xf>
    <xf numFmtId="174" fontId="49" fillId="15" borderId="0" xfId="14" applyNumberFormat="1" applyFont="1" applyFill="1" applyBorder="1" applyAlignment="1" applyProtection="1">
      <alignment horizontal="center" vertical="center"/>
    </xf>
    <xf numFmtId="0" fontId="1" fillId="15" borderId="0" xfId="13" applyFill="1" applyAlignment="1">
      <alignment vertical="center"/>
    </xf>
    <xf numFmtId="0" fontId="49" fillId="15" borderId="0" xfId="7" applyFont="1" applyFill="1" applyAlignment="1">
      <alignment wrapText="1"/>
    </xf>
    <xf numFmtId="0" fontId="49" fillId="18" borderId="10" xfId="7" applyFont="1" applyFill="1" applyBorder="1" applyAlignment="1">
      <alignment wrapText="1"/>
    </xf>
    <xf numFmtId="0" fontId="49" fillId="18" borderId="13" xfId="7" applyFont="1" applyFill="1" applyBorder="1" applyAlignment="1">
      <alignment wrapText="1"/>
    </xf>
    <xf numFmtId="0" fontId="42" fillId="15" borderId="12" xfId="7" applyFont="1" applyFill="1" applyBorder="1" applyAlignment="1">
      <alignment horizontal="left"/>
    </xf>
    <xf numFmtId="0" fontId="42" fillId="15" borderId="24" xfId="7" applyFont="1" applyFill="1" applyBorder="1" applyAlignment="1">
      <alignment horizontal="left"/>
    </xf>
    <xf numFmtId="0" fontId="42" fillId="15" borderId="13" xfId="7" applyFont="1" applyFill="1" applyBorder="1" applyAlignment="1">
      <alignment horizontal="left"/>
    </xf>
    <xf numFmtId="0" fontId="42" fillId="15" borderId="15" xfId="7" applyFont="1" applyFill="1" applyBorder="1" applyAlignment="1">
      <alignment horizontal="center"/>
    </xf>
    <xf numFmtId="0" fontId="42" fillId="15" borderId="0" xfId="7" applyFont="1" applyFill="1" applyAlignment="1">
      <alignment horizontal="center"/>
    </xf>
    <xf numFmtId="0" fontId="42" fillId="15" borderId="16" xfId="7" applyFont="1" applyFill="1" applyBorder="1" applyAlignment="1">
      <alignment horizontal="center"/>
    </xf>
    <xf numFmtId="0" fontId="50" fillId="15" borderId="16" xfId="7" quotePrefix="1" applyFont="1" applyFill="1" applyBorder="1" applyAlignment="1">
      <alignment horizontal="left" wrapText="1"/>
    </xf>
    <xf numFmtId="0" fontId="50" fillId="15" borderId="15" xfId="7" quotePrefix="1" applyFont="1" applyFill="1" applyBorder="1" applyAlignment="1">
      <alignment horizontal="center" wrapText="1"/>
    </xf>
    <xf numFmtId="0" fontId="50" fillId="15" borderId="0" xfId="7" quotePrefix="1" applyFont="1" applyFill="1" applyAlignment="1">
      <alignment horizontal="center" wrapText="1"/>
    </xf>
    <xf numFmtId="0" fontId="50" fillId="15" borderId="16" xfId="7" quotePrefix="1" applyFont="1" applyFill="1" applyBorder="1" applyAlignment="1">
      <alignment horizontal="center" wrapText="1"/>
    </xf>
    <xf numFmtId="0" fontId="50" fillId="15" borderId="18" xfId="7" quotePrefix="1" applyFont="1" applyFill="1" applyBorder="1" applyAlignment="1">
      <alignment horizontal="center"/>
    </xf>
    <xf numFmtId="0" fontId="50" fillId="15" borderId="25" xfId="7" quotePrefix="1" applyFont="1" applyFill="1" applyBorder="1" applyAlignment="1">
      <alignment horizontal="center"/>
    </xf>
    <xf numFmtId="0" fontId="50" fillId="15" borderId="19" xfId="7" quotePrefix="1" applyFont="1" applyFill="1" applyBorder="1" applyAlignment="1">
      <alignment horizontal="center"/>
    </xf>
    <xf numFmtId="0" fontId="1" fillId="15" borderId="19" xfId="13" applyFill="1" applyBorder="1"/>
    <xf numFmtId="0" fontId="42" fillId="17" borderId="57" xfId="7" applyFont="1" applyFill="1" applyBorder="1" applyAlignment="1">
      <alignment horizontal="left"/>
    </xf>
    <xf numFmtId="0" fontId="50" fillId="17" borderId="56" xfId="7" applyFont="1" applyFill="1" applyBorder="1" applyAlignment="1">
      <alignment horizontal="left" vertical="top" wrapText="1"/>
    </xf>
    <xf numFmtId="0" fontId="50" fillId="17" borderId="58" xfId="7" applyFont="1" applyFill="1" applyBorder="1" applyAlignment="1">
      <alignment horizontal="left" vertical="top" wrapText="1"/>
    </xf>
    <xf numFmtId="0" fontId="49" fillId="15" borderId="20" xfId="7" applyFont="1" applyFill="1" applyBorder="1" applyAlignment="1">
      <alignment horizontal="center" vertical="center"/>
    </xf>
    <xf numFmtId="0" fontId="49" fillId="16" borderId="20" xfId="7" applyFont="1" applyFill="1" applyBorder="1" applyAlignment="1">
      <alignment horizontal="center"/>
    </xf>
    <xf numFmtId="0" fontId="49" fillId="15" borderId="0" xfId="7" applyFont="1" applyFill="1" applyAlignment="1">
      <alignment horizontal="center"/>
    </xf>
    <xf numFmtId="0" fontId="49" fillId="11" borderId="20" xfId="7" applyFont="1" applyFill="1" applyBorder="1" applyAlignment="1">
      <alignment horizontal="center"/>
    </xf>
    <xf numFmtId="0" fontId="55" fillId="15" borderId="14" xfId="7" applyFont="1" applyFill="1" applyBorder="1" applyAlignment="1">
      <alignment vertical="center" wrapText="1"/>
    </xf>
    <xf numFmtId="0" fontId="42" fillId="18" borderId="27" xfId="7" applyFont="1" applyFill="1" applyBorder="1" applyAlignment="1">
      <alignment vertical="center"/>
    </xf>
    <xf numFmtId="0" fontId="50" fillId="18" borderId="20" xfId="7" applyFont="1" applyFill="1" applyBorder="1" applyAlignment="1">
      <alignment vertical="center"/>
    </xf>
    <xf numFmtId="0" fontId="50" fillId="18" borderId="10" xfId="7" applyFont="1" applyFill="1" applyBorder="1" applyAlignment="1">
      <alignment horizontal="center" vertical="center"/>
    </xf>
    <xf numFmtId="0" fontId="50" fillId="18" borderId="20" xfId="7" applyFont="1" applyFill="1" applyBorder="1" applyAlignment="1">
      <alignment horizontal="center" vertical="center"/>
    </xf>
    <xf numFmtId="10" fontId="50" fillId="0" borderId="14" xfId="15" applyNumberFormat="1" applyFont="1" applyFill="1" applyBorder="1" applyAlignment="1" applyProtection="1">
      <alignment vertical="center"/>
    </xf>
    <xf numFmtId="43" fontId="50" fillId="16" borderId="16" xfId="14" applyFont="1" applyFill="1" applyBorder="1" applyAlignment="1" applyProtection="1">
      <alignment horizontal="center" vertical="center"/>
      <protection locked="0"/>
    </xf>
    <xf numFmtId="43" fontId="50" fillId="15" borderId="0" xfId="14" applyFont="1" applyFill="1" applyBorder="1" applyAlignment="1" applyProtection="1">
      <alignment horizontal="center" vertical="center"/>
    </xf>
    <xf numFmtId="43" fontId="50" fillId="11" borderId="14" xfId="14" applyFont="1" applyFill="1" applyBorder="1" applyAlignment="1" applyProtection="1">
      <alignment horizontal="center" vertical="center"/>
      <protection locked="0"/>
    </xf>
    <xf numFmtId="0" fontId="49" fillId="9" borderId="57" xfId="7" applyFont="1" applyFill="1" applyBorder="1" applyAlignment="1">
      <alignment vertical="center" wrapText="1"/>
    </xf>
    <xf numFmtId="174" fontId="49" fillId="9" borderId="58" xfId="14" applyNumberFormat="1" applyFont="1" applyFill="1" applyBorder="1" applyAlignment="1" applyProtection="1">
      <alignment horizontal="center" vertical="center"/>
    </xf>
    <xf numFmtId="174" fontId="49" fillId="9" borderId="26" xfId="14" applyNumberFormat="1" applyFont="1" applyFill="1" applyBorder="1" applyAlignment="1" applyProtection="1">
      <alignment horizontal="center" vertical="center"/>
    </xf>
    <xf numFmtId="0" fontId="50" fillId="18" borderId="62" xfId="7" applyFont="1" applyFill="1" applyBorder="1" applyAlignment="1">
      <alignment vertical="center" wrapText="1"/>
    </xf>
    <xf numFmtId="10" fontId="50" fillId="18" borderId="62" xfId="15" applyNumberFormat="1" applyFont="1" applyFill="1" applyBorder="1" applyAlignment="1" applyProtection="1">
      <alignment vertical="center" wrapText="1"/>
    </xf>
    <xf numFmtId="174" fontId="50" fillId="18" borderId="62" xfId="7" applyNumberFormat="1" applyFont="1" applyFill="1" applyBorder="1"/>
    <xf numFmtId="174" fontId="50" fillId="15" borderId="0" xfId="14" applyNumberFormat="1" applyFont="1" applyFill="1" applyBorder="1" applyAlignment="1" applyProtection="1">
      <alignment horizontal="center"/>
    </xf>
    <xf numFmtId="0" fontId="49" fillId="15" borderId="24" xfId="7" applyFont="1" applyFill="1" applyBorder="1"/>
    <xf numFmtId="0" fontId="49" fillId="15" borderId="0" xfId="7" applyFont="1" applyFill="1"/>
    <xf numFmtId="0" fontId="50" fillId="15" borderId="0" xfId="7" quotePrefix="1" applyFont="1" applyFill="1" applyAlignment="1">
      <alignment vertical="center"/>
    </xf>
    <xf numFmtId="0" fontId="42" fillId="17" borderId="57" xfId="7" applyFont="1" applyFill="1" applyBorder="1"/>
    <xf numFmtId="0" fontId="50" fillId="17" borderId="56" xfId="7" applyFont="1" applyFill="1" applyBorder="1"/>
    <xf numFmtId="0" fontId="50" fillId="17" borderId="58" xfId="7" applyFont="1" applyFill="1" applyBorder="1"/>
    <xf numFmtId="174" fontId="49" fillId="16" borderId="11" xfId="14" applyNumberFormat="1" applyFont="1" applyFill="1" applyBorder="1" applyAlignment="1" applyProtection="1">
      <alignment horizontal="center" vertical="center"/>
      <protection locked="0"/>
    </xf>
    <xf numFmtId="174" fontId="49" fillId="11" borderId="20" xfId="14" applyNumberFormat="1" applyFont="1" applyFill="1" applyBorder="1" applyAlignment="1" applyProtection="1">
      <alignment horizontal="center" vertical="center"/>
      <protection locked="0"/>
    </xf>
    <xf numFmtId="0" fontId="50" fillId="18" borderId="20" xfId="7" applyFont="1" applyFill="1" applyBorder="1" applyAlignment="1">
      <alignment vertical="center" wrapText="1"/>
    </xf>
    <xf numFmtId="10" fontId="50" fillId="18" borderId="20" xfId="15" applyNumberFormat="1" applyFont="1" applyFill="1" applyBorder="1" applyAlignment="1" applyProtection="1">
      <alignment vertical="center" wrapText="1"/>
    </xf>
    <xf numFmtId="174" fontId="50" fillId="18" borderId="20" xfId="7" applyNumberFormat="1" applyFont="1" applyFill="1" applyBorder="1"/>
    <xf numFmtId="0" fontId="48" fillId="17" borderId="56" xfId="7" applyFont="1" applyFill="1" applyBorder="1"/>
    <xf numFmtId="0" fontId="48" fillId="17" borderId="58" xfId="7" applyFont="1" applyFill="1" applyBorder="1"/>
    <xf numFmtId="0" fontId="49" fillId="16" borderId="20" xfId="7" applyFont="1" applyFill="1" applyBorder="1" applyAlignment="1">
      <alignment horizontal="center" vertical="center" wrapText="1"/>
    </xf>
    <xf numFmtId="0" fontId="49" fillId="11" borderId="20" xfId="7" applyFont="1" applyFill="1" applyBorder="1" applyAlignment="1">
      <alignment horizontal="center" vertical="center" wrapText="1"/>
    </xf>
    <xf numFmtId="174" fontId="49" fillId="16" borderId="20" xfId="7" applyNumberFormat="1" applyFont="1" applyFill="1" applyBorder="1" applyAlignment="1">
      <alignment horizontal="center"/>
    </xf>
    <xf numFmtId="174" fontId="49" fillId="11" borderId="20" xfId="14" applyNumberFormat="1" applyFont="1" applyFill="1" applyBorder="1" applyAlignment="1" applyProtection="1">
      <alignment horizontal="center"/>
    </xf>
    <xf numFmtId="0" fontId="49" fillId="15" borderId="11" xfId="7" applyFont="1" applyFill="1" applyBorder="1" applyAlignment="1">
      <alignment vertical="center" wrapText="1"/>
    </xf>
    <xf numFmtId="174" fontId="50" fillId="12" borderId="14" xfId="14" applyNumberFormat="1" applyFont="1" applyFill="1" applyBorder="1" applyAlignment="1" applyProtection="1">
      <alignment horizontal="center"/>
      <protection locked="0"/>
    </xf>
    <xf numFmtId="174" fontId="50" fillId="16" borderId="14" xfId="14" applyNumberFormat="1" applyFont="1" applyFill="1" applyBorder="1" applyAlignment="1" applyProtection="1">
      <alignment horizontal="center"/>
    </xf>
    <xf numFmtId="174" fontId="50" fillId="11" borderId="14" xfId="14" applyNumberFormat="1" applyFont="1" applyFill="1" applyBorder="1" applyAlignment="1" applyProtection="1">
      <alignment horizontal="center"/>
      <protection locked="0"/>
    </xf>
    <xf numFmtId="174" fontId="50" fillId="19" borderId="20" xfId="14" applyNumberFormat="1" applyFont="1" applyFill="1" applyBorder="1" applyAlignment="1" applyProtection="1">
      <alignment horizontal="center"/>
    </xf>
    <xf numFmtId="174" fontId="49" fillId="16" borderId="20" xfId="14" applyNumberFormat="1" applyFont="1" applyFill="1" applyBorder="1" applyAlignment="1" applyProtection="1">
      <alignment vertical="center"/>
    </xf>
    <xf numFmtId="174" fontId="49" fillId="11" borderId="20" xfId="14" applyNumberFormat="1" applyFont="1" applyFill="1" applyBorder="1" applyAlignment="1" applyProtection="1">
      <alignment vertical="center"/>
    </xf>
    <xf numFmtId="174" fontId="50" fillId="16" borderId="21" xfId="14" applyNumberFormat="1" applyFont="1" applyFill="1" applyBorder="1" applyAlignment="1" applyProtection="1">
      <alignment vertical="center"/>
      <protection locked="0"/>
    </xf>
    <xf numFmtId="174" fontId="50" fillId="11" borderId="21" xfId="14" applyNumberFormat="1" applyFont="1" applyFill="1" applyBorder="1" applyAlignment="1" applyProtection="1">
      <alignment vertical="center"/>
      <protection locked="0"/>
    </xf>
    <xf numFmtId="174" fontId="50" fillId="16" borderId="23" xfId="14" applyNumberFormat="1" applyFont="1" applyFill="1" applyBorder="1" applyAlignment="1" applyProtection="1">
      <alignment horizontal="center" vertical="center"/>
      <protection locked="0"/>
    </xf>
    <xf numFmtId="0" fontId="49" fillId="9" borderId="57" xfId="7" applyFont="1" applyFill="1" applyBorder="1" applyAlignment="1">
      <alignment vertical="center"/>
    </xf>
    <xf numFmtId="174" fontId="50" fillId="18" borderId="17" xfId="7" applyNumberFormat="1" applyFont="1" applyFill="1" applyBorder="1"/>
    <xf numFmtId="174" fontId="49" fillId="15" borderId="24" xfId="14" applyNumberFormat="1" applyFont="1" applyFill="1" applyBorder="1" applyAlignment="1" applyProtection="1">
      <alignment horizontal="center"/>
    </xf>
    <xf numFmtId="0" fontId="51" fillId="15" borderId="0" xfId="7" applyFont="1" applyFill="1" applyAlignment="1">
      <alignment vertical="center"/>
    </xf>
    <xf numFmtId="0" fontId="50" fillId="15" borderId="0" xfId="7" applyFont="1" applyFill="1" applyAlignment="1">
      <alignment horizontal="left" vertical="center"/>
    </xf>
    <xf numFmtId="0" fontId="1" fillId="15" borderId="1" xfId="13" applyFill="1" applyBorder="1" applyAlignment="1">
      <alignment horizontal="left"/>
    </xf>
    <xf numFmtId="0" fontId="1" fillId="15" borderId="2" xfId="13" applyFill="1" applyBorder="1"/>
    <xf numFmtId="0" fontId="1" fillId="15" borderId="3" xfId="13" applyFill="1" applyBorder="1"/>
    <xf numFmtId="0" fontId="1" fillId="15" borderId="4" xfId="13" applyFill="1" applyBorder="1"/>
    <xf numFmtId="0" fontId="1" fillId="15" borderId="5" xfId="13" applyFill="1" applyBorder="1"/>
    <xf numFmtId="0" fontId="1" fillId="15" borderId="4" xfId="13" applyFill="1" applyBorder="1" applyAlignment="1">
      <alignment horizontal="left" wrapText="1"/>
    </xf>
    <xf numFmtId="0" fontId="1" fillId="15" borderId="0" xfId="13" applyFill="1" applyAlignment="1">
      <alignment horizontal="left" wrapText="1"/>
    </xf>
    <xf numFmtId="0" fontId="1" fillId="15" borderId="5" xfId="13" applyFill="1" applyBorder="1" applyAlignment="1">
      <alignment horizontal="left" wrapText="1"/>
    </xf>
    <xf numFmtId="0" fontId="1" fillId="15" borderId="4" xfId="13" quotePrefix="1" applyFill="1" applyBorder="1" applyAlignment="1">
      <alignment horizontal="left"/>
    </xf>
    <xf numFmtId="0" fontId="1" fillId="15" borderId="0" xfId="13" quotePrefix="1" applyFill="1" applyAlignment="1">
      <alignment horizontal="left"/>
    </xf>
    <xf numFmtId="0" fontId="1" fillId="15" borderId="5" xfId="13" quotePrefix="1" applyFill="1" applyBorder="1" applyAlignment="1">
      <alignment horizontal="left"/>
    </xf>
    <xf numFmtId="0" fontId="50" fillId="15" borderId="4" xfId="7" applyFont="1" applyFill="1" applyBorder="1" applyAlignment="1">
      <alignment horizontal="left" vertical="center"/>
    </xf>
    <xf numFmtId="0" fontId="50" fillId="15" borderId="4" xfId="7" applyFont="1" applyFill="1" applyBorder="1" applyAlignment="1">
      <alignment vertical="center"/>
    </xf>
    <xf numFmtId="0" fontId="1" fillId="15" borderId="6" xfId="13" applyFill="1" applyBorder="1"/>
    <xf numFmtId="0" fontId="1" fillId="15" borderId="7" xfId="13" applyFill="1" applyBorder="1"/>
    <xf numFmtId="0" fontId="1" fillId="15" borderId="8" xfId="13" applyFill="1" applyBorder="1"/>
    <xf numFmtId="169" fontId="61" fillId="3" borderId="15" xfId="3" applyNumberFormat="1" applyFont="1" applyFill="1" applyBorder="1" applyAlignment="1">
      <alignment horizontal="right" vertical="top" wrapText="1"/>
    </xf>
    <xf numFmtId="169" fontId="61" fillId="3" borderId="15" xfId="3" applyNumberFormat="1" applyFont="1" applyFill="1" applyBorder="1">
      <alignment vertical="top"/>
    </xf>
    <xf numFmtId="170" fontId="61" fillId="3" borderId="15" xfId="3" applyNumberFormat="1" applyFont="1" applyFill="1" applyBorder="1">
      <alignment vertical="top"/>
    </xf>
    <xf numFmtId="171" fontId="61" fillId="3" borderId="15" xfId="3" applyNumberFormat="1" applyFont="1" applyFill="1" applyBorder="1">
      <alignment vertical="top"/>
    </xf>
    <xf numFmtId="173" fontId="61" fillId="3" borderId="15" xfId="3" applyNumberFormat="1" applyFont="1" applyFill="1" applyBorder="1">
      <alignment vertical="top"/>
    </xf>
    <xf numFmtId="0" fontId="62" fillId="7" borderId="0" xfId="0" applyFont="1" applyFill="1" applyAlignment="1">
      <alignment horizontal="center" vertical="center"/>
    </xf>
    <xf numFmtId="3" fontId="10" fillId="7" borderId="0" xfId="3" applyNumberFormat="1" applyFont="1" applyFill="1">
      <alignment vertical="top"/>
    </xf>
    <xf numFmtId="175" fontId="10" fillId="7" borderId="0" xfId="3" applyNumberFormat="1" applyFont="1" applyFill="1">
      <alignment vertical="top"/>
    </xf>
    <xf numFmtId="3" fontId="28" fillId="7" borderId="0" xfId="3" applyNumberFormat="1" applyFont="1" applyFill="1">
      <alignment vertical="top"/>
    </xf>
    <xf numFmtId="3" fontId="28" fillId="7" borderId="0" xfId="3" applyNumberFormat="1" applyFont="1" applyFill="1" applyAlignment="1">
      <alignment horizontal="center" vertical="top"/>
    </xf>
    <xf numFmtId="175" fontId="28" fillId="7" borderId="0" xfId="3" applyNumberFormat="1" applyFont="1" applyFill="1">
      <alignment vertical="top"/>
    </xf>
    <xf numFmtId="3" fontId="10" fillId="0" borderId="47" xfId="3" applyNumberFormat="1" applyFont="1" applyBorder="1" applyAlignment="1">
      <alignment horizontal="right" vertical="center"/>
    </xf>
    <xf numFmtId="3" fontId="10" fillId="0" borderId="5" xfId="3" applyNumberFormat="1" applyFont="1" applyBorder="1" applyAlignment="1">
      <alignment horizontal="right" vertical="center"/>
    </xf>
    <xf numFmtId="3" fontId="10" fillId="0" borderId="48" xfId="3" applyNumberFormat="1" applyFont="1" applyBorder="1" applyAlignment="1">
      <alignment horizontal="right" vertical="center"/>
    </xf>
    <xf numFmtId="3" fontId="10" fillId="0" borderId="49" xfId="3" applyNumberFormat="1" applyFont="1" applyBorder="1" applyAlignment="1">
      <alignment horizontal="center" vertical="top" wrapText="1"/>
    </xf>
    <xf numFmtId="3" fontId="10" fillId="0" borderId="4" xfId="3" applyNumberFormat="1" applyFont="1" applyBorder="1" applyAlignment="1">
      <alignment horizontal="center" vertical="top" wrapText="1"/>
    </xf>
    <xf numFmtId="3" fontId="10" fillId="0" borderId="50" xfId="3" applyNumberFormat="1" applyFont="1" applyBorder="1" applyAlignment="1">
      <alignment horizontal="center" vertical="top" wrapText="1"/>
    </xf>
    <xf numFmtId="0" fontId="50" fillId="15" borderId="15" xfId="7" quotePrefix="1" applyFont="1" applyFill="1" applyBorder="1" applyAlignment="1">
      <alignment horizontal="left" vertical="center" wrapText="1"/>
    </xf>
    <xf numFmtId="0" fontId="50" fillId="15" borderId="16" xfId="7" quotePrefix="1" applyFont="1" applyFill="1" applyBorder="1" applyAlignment="1">
      <alignment horizontal="left" vertical="center" wrapText="1"/>
    </xf>
    <xf numFmtId="0" fontId="40" fillId="14" borderId="1" xfId="2" applyFont="1" applyFill="1" applyBorder="1" applyAlignment="1">
      <alignment horizontal="center" vertical="center" wrapText="1"/>
    </xf>
    <xf numFmtId="0" fontId="40" fillId="14" borderId="2" xfId="2" applyFont="1" applyFill="1" applyBorder="1" applyAlignment="1">
      <alignment horizontal="center" vertical="center" wrapText="1"/>
    </xf>
    <xf numFmtId="0" fontId="40" fillId="14" borderId="3" xfId="2" applyFont="1" applyFill="1" applyBorder="1" applyAlignment="1">
      <alignment horizontal="center" vertical="center" wrapText="1"/>
    </xf>
    <xf numFmtId="0" fontId="42" fillId="11" borderId="4" xfId="2" applyFont="1" applyFill="1" applyBorder="1" applyAlignment="1">
      <alignment horizontal="center"/>
    </xf>
    <xf numFmtId="0" fontId="42" fillId="11" borderId="0" xfId="2" applyFont="1" applyFill="1" applyAlignment="1">
      <alignment horizontal="center"/>
    </xf>
    <xf numFmtId="0" fontId="42" fillId="11" borderId="5" xfId="2" applyFont="1" applyFill="1" applyBorder="1" applyAlignment="1">
      <alignment horizontal="center"/>
    </xf>
    <xf numFmtId="0" fontId="1" fillId="11" borderId="4" xfId="13" quotePrefix="1" applyFill="1" applyBorder="1" applyAlignment="1">
      <alignment horizontal="left" vertical="top" wrapText="1"/>
    </xf>
    <xf numFmtId="0" fontId="1" fillId="11" borderId="0" xfId="13" quotePrefix="1" applyFill="1" applyAlignment="1">
      <alignment horizontal="left" vertical="top" wrapText="1"/>
    </xf>
    <xf numFmtId="0" fontId="1" fillId="11" borderId="5" xfId="13" quotePrefix="1" applyFill="1" applyBorder="1" applyAlignment="1">
      <alignment horizontal="left" vertical="top" wrapText="1"/>
    </xf>
    <xf numFmtId="0" fontId="43" fillId="11" borderId="4" xfId="13" applyFont="1" applyFill="1" applyBorder="1" applyAlignment="1">
      <alignment horizontal="center" vertical="center" wrapText="1"/>
    </xf>
    <xf numFmtId="0" fontId="43" fillId="11" borderId="0" xfId="13" applyFont="1" applyFill="1" applyAlignment="1">
      <alignment horizontal="center" vertical="center" wrapText="1"/>
    </xf>
    <xf numFmtId="0" fontId="43" fillId="11" borderId="5" xfId="13" applyFont="1" applyFill="1" applyBorder="1" applyAlignment="1">
      <alignment horizontal="center" vertical="center" wrapText="1"/>
    </xf>
    <xf numFmtId="0" fontId="44" fillId="11" borderId="4" xfId="13" applyFont="1" applyFill="1" applyBorder="1" applyAlignment="1">
      <alignment horizontal="center"/>
    </xf>
    <xf numFmtId="0" fontId="44" fillId="11" borderId="0" xfId="13" applyFont="1" applyFill="1" applyAlignment="1">
      <alignment horizontal="center"/>
    </xf>
    <xf numFmtId="0" fontId="44" fillId="11" borderId="5" xfId="13" applyFont="1" applyFill="1" applyBorder="1" applyAlignment="1">
      <alignment horizontal="center"/>
    </xf>
    <xf numFmtId="0" fontId="42" fillId="17" borderId="57" xfId="7" applyFont="1" applyFill="1" applyBorder="1" applyAlignment="1">
      <alignment horizontal="left"/>
    </xf>
    <xf numFmtId="0" fontId="42" fillId="17" borderId="56" xfId="7" applyFont="1" applyFill="1" applyBorder="1" applyAlignment="1">
      <alignment horizontal="left"/>
    </xf>
    <xf numFmtId="0" fontId="42" fillId="17" borderId="58" xfId="7" applyFont="1" applyFill="1" applyBorder="1" applyAlignment="1">
      <alignment horizontal="left"/>
    </xf>
    <xf numFmtId="0" fontId="49" fillId="18" borderId="0" xfId="7" applyFont="1" applyFill="1" applyAlignment="1">
      <alignment horizontal="left"/>
    </xf>
    <xf numFmtId="0" fontId="50" fillId="18" borderId="0" xfId="7" quotePrefix="1" applyFont="1" applyFill="1" applyAlignment="1">
      <alignment horizontal="left"/>
    </xf>
    <xf numFmtId="0" fontId="50" fillId="18" borderId="25" xfId="7" quotePrefix="1" applyFont="1" applyFill="1" applyBorder="1" applyAlignment="1">
      <alignment horizontal="left"/>
    </xf>
    <xf numFmtId="0" fontId="50" fillId="15" borderId="12" xfId="7" quotePrefix="1" applyFont="1" applyFill="1" applyBorder="1" applyAlignment="1">
      <alignment horizontal="left" vertical="center" wrapText="1"/>
    </xf>
    <xf numFmtId="0" fontId="50" fillId="15" borderId="13" xfId="7" quotePrefix="1" applyFont="1" applyFill="1" applyBorder="1" applyAlignment="1">
      <alignment horizontal="left" vertical="center" wrapText="1"/>
    </xf>
    <xf numFmtId="0" fontId="49" fillId="15" borderId="0" xfId="7" applyFont="1" applyFill="1" applyAlignment="1">
      <alignment horizontal="left" vertical="top" wrapText="1"/>
    </xf>
    <xf numFmtId="0" fontId="50" fillId="15" borderId="18" xfId="7" quotePrefix="1" applyFont="1" applyFill="1" applyBorder="1" applyAlignment="1">
      <alignment horizontal="left" vertical="center" wrapText="1"/>
    </xf>
    <xf numFmtId="0" fontId="50" fillId="15" borderId="19" xfId="7" quotePrefix="1" applyFont="1" applyFill="1" applyBorder="1" applyAlignment="1">
      <alignment horizontal="left" vertical="center" wrapText="1"/>
    </xf>
    <xf numFmtId="0" fontId="50" fillId="15" borderId="38" xfId="7" quotePrefix="1" applyFont="1" applyFill="1" applyBorder="1" applyAlignment="1">
      <alignment horizontal="left" vertical="center" wrapText="1"/>
    </xf>
    <xf numFmtId="0" fontId="50" fillId="15" borderId="60" xfId="7" quotePrefix="1" applyFont="1" applyFill="1" applyBorder="1" applyAlignment="1">
      <alignment horizontal="left" vertical="center" wrapText="1"/>
    </xf>
    <xf numFmtId="0" fontId="49" fillId="18" borderId="27" xfId="7" applyFont="1" applyFill="1" applyBorder="1" applyAlignment="1">
      <alignment horizontal="center" wrapText="1"/>
    </xf>
    <xf numFmtId="0" fontId="49" fillId="18" borderId="9" xfId="7" applyFont="1" applyFill="1" applyBorder="1" applyAlignment="1">
      <alignment horizontal="center" wrapText="1"/>
    </xf>
    <xf numFmtId="0" fontId="49" fillId="18" borderId="10" xfId="7" applyFont="1" applyFill="1" applyBorder="1" applyAlignment="1">
      <alignment horizontal="center" wrapText="1"/>
    </xf>
    <xf numFmtId="0" fontId="49" fillId="18" borderId="12" xfId="7" applyFont="1" applyFill="1" applyBorder="1" applyAlignment="1" applyProtection="1">
      <alignment horizontal="center" wrapText="1"/>
      <protection locked="0"/>
    </xf>
    <xf numFmtId="0" fontId="49" fillId="18" borderId="24" xfId="7" applyFont="1" applyFill="1" applyBorder="1" applyAlignment="1" applyProtection="1">
      <alignment horizontal="center" wrapText="1"/>
      <protection locked="0"/>
    </xf>
    <xf numFmtId="0" fontId="49" fillId="18" borderId="13" xfId="7" applyFont="1" applyFill="1" applyBorder="1" applyAlignment="1" applyProtection="1">
      <alignment horizontal="center" wrapText="1"/>
      <protection locked="0"/>
    </xf>
    <xf numFmtId="0" fontId="49" fillId="18" borderId="15" xfId="7" applyFont="1" applyFill="1" applyBorder="1" applyAlignment="1" applyProtection="1">
      <alignment horizontal="center" wrapText="1"/>
      <protection locked="0"/>
    </xf>
    <xf numFmtId="0" fontId="49" fillId="18" borderId="0" xfId="7" applyFont="1" applyFill="1" applyAlignment="1" applyProtection="1">
      <alignment horizontal="center" wrapText="1"/>
      <protection locked="0"/>
    </xf>
    <xf numFmtId="0" fontId="49" fillId="18" borderId="16" xfId="7" applyFont="1" applyFill="1" applyBorder="1" applyAlignment="1" applyProtection="1">
      <alignment horizontal="center" wrapText="1"/>
      <protection locked="0"/>
    </xf>
    <xf numFmtId="0" fontId="49" fillId="18" borderId="18" xfId="7" applyFont="1" applyFill="1" applyBorder="1" applyAlignment="1" applyProtection="1">
      <alignment horizontal="center" wrapText="1"/>
      <protection locked="0"/>
    </xf>
    <xf numFmtId="0" fontId="49" fillId="18" borderId="25" xfId="7" applyFont="1" applyFill="1" applyBorder="1" applyAlignment="1" applyProtection="1">
      <alignment horizontal="center" wrapText="1"/>
      <protection locked="0"/>
    </xf>
    <xf numFmtId="0" fontId="49" fillId="18" borderId="19" xfId="7" applyFont="1" applyFill="1" applyBorder="1" applyAlignment="1" applyProtection="1">
      <alignment horizontal="center" wrapText="1"/>
      <protection locked="0"/>
    </xf>
    <xf numFmtId="0" fontId="50" fillId="15" borderId="15" xfId="7" quotePrefix="1" applyFont="1" applyFill="1" applyBorder="1" applyAlignment="1">
      <alignment horizontal="left"/>
    </xf>
    <xf numFmtId="0" fontId="50" fillId="15" borderId="0" xfId="7" quotePrefix="1" applyFont="1" applyFill="1" applyAlignment="1">
      <alignment horizontal="left"/>
    </xf>
    <xf numFmtId="0" fontId="50" fillId="15" borderId="16" xfId="7" quotePrefix="1" applyFont="1" applyFill="1" applyBorder="1" applyAlignment="1">
      <alignment horizontal="left"/>
    </xf>
    <xf numFmtId="0" fontId="50" fillId="15" borderId="15" xfId="7" quotePrefix="1" applyFont="1" applyFill="1" applyBorder="1" applyAlignment="1">
      <alignment horizontal="left" wrapText="1"/>
    </xf>
    <xf numFmtId="0" fontId="50" fillId="15" borderId="0" xfId="7" quotePrefix="1" applyFont="1" applyFill="1" applyAlignment="1">
      <alignment horizontal="left" wrapText="1"/>
    </xf>
    <xf numFmtId="0" fontId="50" fillId="15" borderId="16" xfId="7" quotePrefix="1" applyFont="1" applyFill="1" applyBorder="1" applyAlignment="1">
      <alignment horizontal="left" wrapText="1"/>
    </xf>
    <xf numFmtId="0" fontId="49" fillId="18" borderId="27" xfId="7" applyFont="1" applyFill="1" applyBorder="1" applyAlignment="1">
      <alignment horizontal="center"/>
    </xf>
    <xf numFmtId="0" fontId="49" fillId="18" borderId="9" xfId="7" applyFont="1" applyFill="1" applyBorder="1" applyAlignment="1">
      <alignment horizontal="center"/>
    </xf>
    <xf numFmtId="0" fontId="49" fillId="18" borderId="10" xfId="7" applyFont="1" applyFill="1" applyBorder="1" applyAlignment="1">
      <alignment horizontal="center"/>
    </xf>
    <xf numFmtId="0" fontId="49" fillId="18" borderId="12" xfId="7" applyFont="1" applyFill="1" applyBorder="1" applyAlignment="1" applyProtection="1">
      <alignment horizontal="left" vertical="top" wrapText="1"/>
      <protection locked="0"/>
    </xf>
    <xf numFmtId="0" fontId="49" fillId="18" borderId="24" xfId="7" applyFont="1" applyFill="1" applyBorder="1" applyAlignment="1" applyProtection="1">
      <alignment horizontal="left" vertical="top" wrapText="1"/>
      <protection locked="0"/>
    </xf>
    <xf numFmtId="0" fontId="49" fillId="18" borderId="13" xfId="7" applyFont="1" applyFill="1" applyBorder="1" applyAlignment="1" applyProtection="1">
      <alignment horizontal="left" vertical="top" wrapText="1"/>
      <protection locked="0"/>
    </xf>
    <xf numFmtId="0" fontId="49" fillId="18" borderId="15" xfId="7" applyFont="1" applyFill="1" applyBorder="1" applyAlignment="1" applyProtection="1">
      <alignment horizontal="left" vertical="top" wrapText="1"/>
      <protection locked="0"/>
    </xf>
    <xf numFmtId="0" fontId="49" fillId="18" borderId="0" xfId="7" applyFont="1" applyFill="1" applyAlignment="1" applyProtection="1">
      <alignment horizontal="left" vertical="top" wrapText="1"/>
      <protection locked="0"/>
    </xf>
    <xf numFmtId="0" fontId="49" fillId="18" borderId="16" xfId="7" applyFont="1" applyFill="1" applyBorder="1" applyAlignment="1" applyProtection="1">
      <alignment horizontal="left" vertical="top" wrapText="1"/>
      <protection locked="0"/>
    </xf>
    <xf numFmtId="0" fontId="49" fillId="18" borderId="18" xfId="7" applyFont="1" applyFill="1" applyBorder="1" applyAlignment="1" applyProtection="1">
      <alignment horizontal="left" vertical="top" wrapText="1"/>
      <protection locked="0"/>
    </xf>
    <xf numFmtId="0" fontId="49" fillId="18" borderId="25" xfId="7" applyFont="1" applyFill="1" applyBorder="1" applyAlignment="1" applyProtection="1">
      <alignment horizontal="left" vertical="top" wrapText="1"/>
      <protection locked="0"/>
    </xf>
    <xf numFmtId="0" fontId="49" fillId="18" borderId="19" xfId="7" applyFont="1" applyFill="1" applyBorder="1" applyAlignment="1" applyProtection="1">
      <alignment horizontal="left" vertical="top" wrapText="1"/>
      <protection locked="0"/>
    </xf>
    <xf numFmtId="0" fontId="50" fillId="15" borderId="18" xfId="7" quotePrefix="1" applyFont="1" applyFill="1" applyBorder="1" applyAlignment="1">
      <alignment horizontal="left"/>
    </xf>
    <xf numFmtId="0" fontId="50" fillId="15" borderId="25" xfId="7" quotePrefix="1" applyFont="1" applyFill="1" applyBorder="1" applyAlignment="1">
      <alignment horizontal="left"/>
    </xf>
    <xf numFmtId="0" fontId="50" fillId="15" borderId="19" xfId="7" quotePrefix="1" applyFont="1" applyFill="1" applyBorder="1" applyAlignment="1">
      <alignment horizontal="left"/>
    </xf>
    <xf numFmtId="0" fontId="58" fillId="18" borderId="27" xfId="13" applyFont="1" applyFill="1" applyBorder="1" applyAlignment="1">
      <alignment horizontal="center" vertical="center"/>
    </xf>
    <xf numFmtId="0" fontId="58" fillId="18" borderId="9" xfId="13" applyFont="1" applyFill="1" applyBorder="1" applyAlignment="1">
      <alignment horizontal="center" vertical="center"/>
    </xf>
    <xf numFmtId="0" fontId="58" fillId="18" borderId="10" xfId="13" applyFont="1" applyFill="1" applyBorder="1" applyAlignment="1">
      <alignment horizontal="center" vertical="center"/>
    </xf>
    <xf numFmtId="0" fontId="1" fillId="18" borderId="12" xfId="13" applyFill="1" applyBorder="1" applyAlignment="1" applyProtection="1">
      <alignment horizontal="left" vertical="center" wrapText="1"/>
      <protection locked="0"/>
    </xf>
    <xf numFmtId="0" fontId="1" fillId="18" borderId="24" xfId="13" applyFill="1" applyBorder="1" applyAlignment="1" applyProtection="1">
      <alignment horizontal="left" vertical="center" wrapText="1"/>
      <protection locked="0"/>
    </xf>
    <xf numFmtId="0" fontId="1" fillId="18" borderId="13" xfId="13" applyFill="1" applyBorder="1" applyAlignment="1" applyProtection="1">
      <alignment horizontal="left" vertical="center" wrapText="1"/>
      <protection locked="0"/>
    </xf>
    <xf numFmtId="0" fontId="1" fillId="18" borderId="15" xfId="13" applyFill="1" applyBorder="1" applyAlignment="1" applyProtection="1">
      <alignment horizontal="left" vertical="center" wrapText="1"/>
      <protection locked="0"/>
    </xf>
    <xf numFmtId="0" fontId="1" fillId="18" borderId="0" xfId="13" applyFill="1" applyAlignment="1" applyProtection="1">
      <alignment horizontal="left" vertical="center" wrapText="1"/>
      <protection locked="0"/>
    </xf>
    <xf numFmtId="0" fontId="1" fillId="18" borderId="16" xfId="13" applyFill="1" applyBorder="1" applyAlignment="1" applyProtection="1">
      <alignment horizontal="left" vertical="center" wrapText="1"/>
      <protection locked="0"/>
    </xf>
    <xf numFmtId="0" fontId="1" fillId="18" borderId="18" xfId="13" applyFill="1" applyBorder="1" applyAlignment="1" applyProtection="1">
      <alignment horizontal="left" vertical="center" wrapText="1"/>
      <protection locked="0"/>
    </xf>
    <xf numFmtId="0" fontId="1" fillId="18" borderId="25" xfId="13" applyFill="1" applyBorder="1" applyAlignment="1" applyProtection="1">
      <alignment horizontal="left" vertical="center" wrapText="1"/>
      <protection locked="0"/>
    </xf>
    <xf numFmtId="0" fontId="1" fillId="18" borderId="19" xfId="13" applyFill="1" applyBorder="1" applyAlignment="1" applyProtection="1">
      <alignment horizontal="left" vertical="center" wrapText="1"/>
      <protection locked="0"/>
    </xf>
    <xf numFmtId="0" fontId="1" fillId="15" borderId="4" xfId="13" applyFill="1" applyBorder="1" applyAlignment="1">
      <alignment horizontal="left" wrapText="1"/>
    </xf>
    <xf numFmtId="0" fontId="1" fillId="15" borderId="0" xfId="13" applyFill="1" applyAlignment="1">
      <alignment horizontal="left" wrapText="1"/>
    </xf>
    <xf numFmtId="0" fontId="1" fillId="15" borderId="5" xfId="13" applyFill="1" applyBorder="1" applyAlignment="1">
      <alignment horizontal="left" wrapText="1"/>
    </xf>
    <xf numFmtId="0" fontId="1" fillId="15" borderId="4" xfId="13" quotePrefix="1" applyFill="1" applyBorder="1" applyAlignment="1">
      <alignment horizontal="left"/>
    </xf>
    <xf numFmtId="0" fontId="1" fillId="15" borderId="0" xfId="13" quotePrefix="1" applyFill="1" applyAlignment="1">
      <alignment horizontal="left"/>
    </xf>
    <xf numFmtId="0" fontId="1" fillId="15" borderId="5" xfId="13" quotePrefix="1" applyFill="1" applyBorder="1" applyAlignment="1">
      <alignment horizontal="left"/>
    </xf>
    <xf numFmtId="0" fontId="43" fillId="17" borderId="57" xfId="13" applyFont="1" applyFill="1" applyBorder="1" applyAlignment="1">
      <alignment horizontal="center"/>
    </xf>
    <xf numFmtId="0" fontId="43" fillId="17" borderId="56" xfId="13" applyFont="1" applyFill="1" applyBorder="1" applyAlignment="1">
      <alignment horizontal="center"/>
    </xf>
    <xf numFmtId="0" fontId="43" fillId="17" borderId="58" xfId="13" applyFont="1" applyFill="1" applyBorder="1" applyAlignment="1">
      <alignment horizontal="center"/>
    </xf>
    <xf numFmtId="3" fontId="11" fillId="0" borderId="27" xfId="3" applyNumberFormat="1" applyFont="1" applyBorder="1" applyAlignment="1">
      <alignment horizontal="center" vertical="top"/>
    </xf>
    <xf numFmtId="3" fontId="11" fillId="0" borderId="9" xfId="3" applyNumberFormat="1" applyFont="1" applyBorder="1" applyAlignment="1">
      <alignment horizontal="center" vertical="top"/>
    </xf>
    <xf numFmtId="3" fontId="11" fillId="0" borderId="10" xfId="3" applyNumberFormat="1" applyFont="1" applyBorder="1" applyAlignment="1">
      <alignment horizontal="center" vertical="top"/>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2" fontId="7" fillId="0" borderId="1" xfId="0" applyNumberFormat="1" applyFont="1" applyBorder="1" applyAlignment="1">
      <alignment horizontal="center" vertical="center"/>
    </xf>
    <xf numFmtId="2" fontId="7" fillId="0" borderId="4" xfId="0" applyNumberFormat="1" applyFont="1" applyBorder="1" applyAlignment="1">
      <alignment horizontal="center" vertical="center"/>
    </xf>
    <xf numFmtId="2" fontId="7" fillId="0" borderId="6" xfId="0" applyNumberFormat="1" applyFont="1" applyBorder="1" applyAlignment="1">
      <alignment horizontal="center" vertical="center"/>
    </xf>
  </cellXfs>
  <cellStyles count="16">
    <cellStyle name="Milliers 2" xfId="8"/>
    <cellStyle name="Milliers 3" xfId="11"/>
    <cellStyle name="Milliers 4" xfId="12"/>
    <cellStyle name="Milliers 5" xfId="14"/>
    <cellStyle name="Normal" xfId="0" builtinId="0"/>
    <cellStyle name="Normal 2" xfId="1"/>
    <cellStyle name="Normal 2 2" xfId="2"/>
    <cellStyle name="Normal 3" xfId="5"/>
    <cellStyle name="Normal 3 2" xfId="7"/>
    <cellStyle name="Normal 4" xfId="6"/>
    <cellStyle name="Normal 4 2" xfId="9"/>
    <cellStyle name="Normal 5" xfId="10"/>
    <cellStyle name="Normal 6" xfId="13"/>
    <cellStyle name="Normal_Impôts_péréq_ 2006 Ste-Croix" xfId="3"/>
    <cellStyle name="Pourcentage" xfId="4" builtinId="5"/>
    <cellStyle name="Pourcentage 2" xfId="15"/>
  </cellStyles>
  <dxfs count="1">
    <dxf>
      <fill>
        <patternFill patternType="solid">
          <fgColor rgb="FFFFFF00"/>
          <bgColor rgb="FF00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client\Mes%20documents\cd\&#233;tat%20des%20emprunts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JMB\Analyse%20financi&#232;re\Analyse%202008\Planification%202007-2012\Ann&#233;e-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JMB\Commune%20Ste-X\Comptes\Comptes%202021\P&#233;r&#233;quation%202021%20-%20Ste-Croix\Questionnaire%20des%20d&#233;penses%20th&#233;matiques%20site%20inter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à c.t."/>
      <sheetName val="à l.t."/>
      <sheetName val="Lin"/>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verture comptes"/>
      <sheetName val="Couverture budget"/>
      <sheetName val="Admin.1"/>
      <sheetName val="Admin. 2"/>
      <sheetName val="Charges nature"/>
      <sheetName val="Revenus nature"/>
      <sheetName val="Actif"/>
      <sheetName val="Passif"/>
      <sheetName val="Investissements"/>
      <sheetName val="Données techniques"/>
    </sheetNames>
    <sheetDataSet>
      <sheetData sheetId="0"/>
      <sheetData sheetId="1"/>
      <sheetData sheetId="2"/>
      <sheetData sheetId="3"/>
      <sheetData sheetId="4">
        <row r="32">
          <cell r="D32">
            <v>815000</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
      <sheetName val="Paramètres"/>
      <sheetName val="Feuil1"/>
    </sheetNames>
    <sheetDataSet>
      <sheetData sheetId="0"/>
      <sheetData sheetId="1">
        <row r="1">
          <cell r="A1" t="str">
            <v>Commune</v>
          </cell>
          <cell r="B1" t="str">
            <v>District</v>
          </cell>
        </row>
        <row r="2">
          <cell r="A2" t="str">
            <v>SELECTIONNER COMMUNE</v>
          </cell>
        </row>
        <row r="3">
          <cell r="A3" t="str">
            <v>Aclens</v>
          </cell>
          <cell r="B3" t="str">
            <v>MORGES</v>
          </cell>
          <cell r="C3">
            <v>5621</v>
          </cell>
        </row>
        <row r="4">
          <cell r="A4" t="str">
            <v>Agiez</v>
          </cell>
          <cell r="B4" t="str">
            <v>JURA-NORD VAUDOIS</v>
          </cell>
          <cell r="C4">
            <v>5742</v>
          </cell>
        </row>
        <row r="5">
          <cell r="A5" t="str">
            <v>Aigle</v>
          </cell>
          <cell r="B5" t="str">
            <v>AIGLE</v>
          </cell>
          <cell r="C5">
            <v>5401</v>
          </cell>
        </row>
        <row r="6">
          <cell r="A6" t="str">
            <v>Allaman</v>
          </cell>
          <cell r="B6" t="str">
            <v>MORGES</v>
          </cell>
          <cell r="C6">
            <v>5851</v>
          </cell>
        </row>
        <row r="7">
          <cell r="A7" t="str">
            <v>Apples</v>
          </cell>
          <cell r="B7" t="str">
            <v>MORGES</v>
          </cell>
          <cell r="C7">
            <v>5421</v>
          </cell>
        </row>
        <row r="8">
          <cell r="A8" t="str">
            <v>Arnex-sur-Nyon</v>
          </cell>
          <cell r="B8" t="str">
            <v>NYON</v>
          </cell>
          <cell r="C8">
            <v>5701</v>
          </cell>
        </row>
        <row r="9">
          <cell r="A9" t="str">
            <v>Arnex-sur-Orbe</v>
          </cell>
          <cell r="B9" t="str">
            <v>JURA-NORD VAUDOIS</v>
          </cell>
          <cell r="C9">
            <v>5743</v>
          </cell>
        </row>
        <row r="10">
          <cell r="A10" t="str">
            <v>Arzier-le Muids</v>
          </cell>
          <cell r="B10" t="str">
            <v>NYON</v>
          </cell>
          <cell r="C10">
            <v>5702</v>
          </cell>
        </row>
        <row r="11">
          <cell r="A11" t="str">
            <v>Assens</v>
          </cell>
          <cell r="B11" t="str">
            <v>GROS-DE-VAUD</v>
          </cell>
          <cell r="C11">
            <v>5511</v>
          </cell>
        </row>
        <row r="12">
          <cell r="A12" t="str">
            <v>Aubonne</v>
          </cell>
          <cell r="B12" t="str">
            <v>MORGES</v>
          </cell>
          <cell r="C12">
            <v>5422</v>
          </cell>
        </row>
        <row r="13">
          <cell r="A13" t="str">
            <v>Avenches</v>
          </cell>
          <cell r="B13" t="str">
            <v>BROYE-VULLY</v>
          </cell>
          <cell r="C13">
            <v>5451</v>
          </cell>
        </row>
        <row r="14">
          <cell r="A14" t="str">
            <v>Ballaigues</v>
          </cell>
          <cell r="B14" t="str">
            <v>JURA-NORD VAUDOIS</v>
          </cell>
          <cell r="C14">
            <v>5744</v>
          </cell>
        </row>
        <row r="15">
          <cell r="A15" t="str">
            <v>Ballens</v>
          </cell>
          <cell r="B15" t="str">
            <v>MORGES</v>
          </cell>
          <cell r="C15">
            <v>5423</v>
          </cell>
        </row>
        <row r="16">
          <cell r="A16" t="str">
            <v>Bassins</v>
          </cell>
          <cell r="B16" t="str">
            <v>NYON</v>
          </cell>
          <cell r="C16">
            <v>5703</v>
          </cell>
        </row>
        <row r="17">
          <cell r="A17" t="str">
            <v>Baulmes</v>
          </cell>
          <cell r="B17" t="str">
            <v>JURA-NORD VAUDOIS</v>
          </cell>
          <cell r="C17">
            <v>5745</v>
          </cell>
        </row>
        <row r="18">
          <cell r="A18" t="str">
            <v>Bavois</v>
          </cell>
          <cell r="B18" t="str">
            <v>JURA-NORD VAUDOIS</v>
          </cell>
          <cell r="C18">
            <v>5746</v>
          </cell>
        </row>
        <row r="19">
          <cell r="A19" t="str">
            <v>Begnins</v>
          </cell>
          <cell r="B19" t="str">
            <v>NYON</v>
          </cell>
          <cell r="C19">
            <v>5704</v>
          </cell>
        </row>
        <row r="20">
          <cell r="A20" t="str">
            <v>Belmont-sur-Lausanne</v>
          </cell>
          <cell r="B20" t="str">
            <v>LAVAUX-ORON</v>
          </cell>
          <cell r="C20">
            <v>5581</v>
          </cell>
        </row>
        <row r="21">
          <cell r="A21" t="str">
            <v>Belmont-sur-Yverdon</v>
          </cell>
          <cell r="B21" t="str">
            <v>JURA-NORD VAUDOIS</v>
          </cell>
          <cell r="C21">
            <v>5902</v>
          </cell>
        </row>
        <row r="22">
          <cell r="A22" t="str">
            <v>Bercher</v>
          </cell>
          <cell r="B22" t="str">
            <v>GROS-DE-VAUD</v>
          </cell>
          <cell r="C22">
            <v>5512</v>
          </cell>
        </row>
        <row r="23">
          <cell r="A23" t="str">
            <v>Berolle</v>
          </cell>
          <cell r="B23" t="str">
            <v>MORGES</v>
          </cell>
          <cell r="C23">
            <v>5424</v>
          </cell>
        </row>
        <row r="24">
          <cell r="A24" t="str">
            <v>Bettens</v>
          </cell>
          <cell r="B24" t="str">
            <v>GROS-DE-VAUD</v>
          </cell>
          <cell r="C24">
            <v>5471</v>
          </cell>
        </row>
        <row r="25">
          <cell r="A25" t="str">
            <v>Bex</v>
          </cell>
          <cell r="B25" t="str">
            <v>AIGLE</v>
          </cell>
          <cell r="C25">
            <v>5402</v>
          </cell>
        </row>
        <row r="26">
          <cell r="A26" t="str">
            <v>Bière</v>
          </cell>
          <cell r="B26" t="str">
            <v>MORGES</v>
          </cell>
          <cell r="C26">
            <v>5425</v>
          </cell>
        </row>
        <row r="27">
          <cell r="A27" t="str">
            <v>Bioley-Magnoux</v>
          </cell>
          <cell r="B27" t="str">
            <v>JURA-NORD VAUDOIS</v>
          </cell>
          <cell r="C27">
            <v>5903</v>
          </cell>
        </row>
        <row r="28">
          <cell r="A28" t="str">
            <v>Bioley-Orjulaz</v>
          </cell>
          <cell r="B28" t="str">
            <v>GROS-DE-VAUD</v>
          </cell>
          <cell r="C28">
            <v>5513</v>
          </cell>
        </row>
        <row r="29">
          <cell r="A29" t="str">
            <v>Blonay</v>
          </cell>
          <cell r="B29" t="str">
            <v>RIVIERA-PAYS-D'ENHAUT</v>
          </cell>
          <cell r="C29">
            <v>5881</v>
          </cell>
        </row>
        <row r="30">
          <cell r="A30" t="str">
            <v>Bofflens</v>
          </cell>
          <cell r="B30" t="str">
            <v>JURA-NORD VAUDOIS</v>
          </cell>
          <cell r="C30">
            <v>5747</v>
          </cell>
        </row>
        <row r="31">
          <cell r="A31" t="str">
            <v>Bogis-Bossey</v>
          </cell>
          <cell r="B31" t="str">
            <v>NYON</v>
          </cell>
          <cell r="C31">
            <v>5705</v>
          </cell>
        </row>
        <row r="32">
          <cell r="A32" t="str">
            <v>Bonvillars</v>
          </cell>
          <cell r="B32" t="str">
            <v>JURA-NORD VAUDOIS</v>
          </cell>
          <cell r="C32">
            <v>5551</v>
          </cell>
        </row>
        <row r="33">
          <cell r="A33" t="str">
            <v>Borex</v>
          </cell>
          <cell r="B33" t="str">
            <v>NYON</v>
          </cell>
          <cell r="C33">
            <v>5706</v>
          </cell>
        </row>
        <row r="34">
          <cell r="A34" t="str">
            <v>Bottens</v>
          </cell>
          <cell r="B34" t="str">
            <v>GROS-DE-VAUD</v>
          </cell>
          <cell r="C34">
            <v>5514</v>
          </cell>
        </row>
        <row r="35">
          <cell r="A35" t="str">
            <v>Bougy-Villars</v>
          </cell>
          <cell r="B35" t="str">
            <v>MORGES</v>
          </cell>
          <cell r="C35">
            <v>5426</v>
          </cell>
        </row>
        <row r="36">
          <cell r="A36" t="str">
            <v>Boulens</v>
          </cell>
          <cell r="B36" t="str">
            <v>GROS-DE-VAUD</v>
          </cell>
          <cell r="C36">
            <v>5661</v>
          </cell>
        </row>
        <row r="37">
          <cell r="A37" t="str">
            <v>Bourg-en-Lavaux</v>
          </cell>
          <cell r="B37" t="str">
            <v>LAVAUX-ORON</v>
          </cell>
          <cell r="C37">
            <v>5613</v>
          </cell>
        </row>
        <row r="38">
          <cell r="A38" t="str">
            <v>Bournens</v>
          </cell>
          <cell r="B38" t="str">
            <v>GROS-DE-VAUD</v>
          </cell>
          <cell r="C38">
            <v>5472</v>
          </cell>
        </row>
        <row r="39">
          <cell r="A39" t="str">
            <v>Boussens</v>
          </cell>
          <cell r="B39" t="str">
            <v>GROS-DE-VAUD</v>
          </cell>
          <cell r="C39">
            <v>5473</v>
          </cell>
        </row>
        <row r="40">
          <cell r="A40" t="str">
            <v>Bremblens</v>
          </cell>
          <cell r="B40" t="str">
            <v>MORGES</v>
          </cell>
          <cell r="C40">
            <v>5622</v>
          </cell>
        </row>
        <row r="41">
          <cell r="A41" t="str">
            <v>Brenles</v>
          </cell>
          <cell r="B41" t="str">
            <v>BROYE-VULLY</v>
          </cell>
          <cell r="C41">
            <v>5662</v>
          </cell>
        </row>
        <row r="42">
          <cell r="A42" t="str">
            <v>Bretigny-sur-Morrens</v>
          </cell>
          <cell r="B42" t="str">
            <v>GROS-DE-VAUD</v>
          </cell>
          <cell r="C42">
            <v>5515</v>
          </cell>
        </row>
        <row r="43">
          <cell r="A43" t="str">
            <v>Bretonnières</v>
          </cell>
          <cell r="B43" t="str">
            <v>JURA-NORD VAUDOIS</v>
          </cell>
          <cell r="C43">
            <v>5748</v>
          </cell>
        </row>
        <row r="44">
          <cell r="A44" t="str">
            <v>Buchillon</v>
          </cell>
          <cell r="B44" t="str">
            <v>MORGES</v>
          </cell>
          <cell r="C44">
            <v>5623</v>
          </cell>
        </row>
        <row r="45">
          <cell r="A45" t="str">
            <v>Bullet</v>
          </cell>
          <cell r="B45" t="str">
            <v>JURA-NORD VAUDOIS</v>
          </cell>
          <cell r="C45">
            <v>5552</v>
          </cell>
        </row>
        <row r="46">
          <cell r="A46" t="str">
            <v>Bursinel</v>
          </cell>
          <cell r="B46" t="str">
            <v>NYON</v>
          </cell>
          <cell r="C46">
            <v>5852</v>
          </cell>
        </row>
        <row r="47">
          <cell r="A47" t="str">
            <v>Bursins</v>
          </cell>
          <cell r="B47" t="str">
            <v>NYON</v>
          </cell>
          <cell r="C47">
            <v>5853</v>
          </cell>
        </row>
        <row r="48">
          <cell r="A48" t="str">
            <v>Burtigny</v>
          </cell>
          <cell r="B48" t="str">
            <v>NYON</v>
          </cell>
          <cell r="C48">
            <v>5854</v>
          </cell>
        </row>
        <row r="49">
          <cell r="A49" t="str">
            <v>Bussigny</v>
          </cell>
          <cell r="B49" t="str">
            <v>OUEST LAUSANNOIS</v>
          </cell>
          <cell r="C49">
            <v>5624</v>
          </cell>
        </row>
        <row r="50">
          <cell r="A50" t="str">
            <v>Bussy-Chardonney</v>
          </cell>
          <cell r="B50" t="str">
            <v>MORGES</v>
          </cell>
          <cell r="C50">
            <v>5625</v>
          </cell>
        </row>
        <row r="51">
          <cell r="A51" t="str">
            <v>Bussy-sur-Moudon</v>
          </cell>
          <cell r="B51" t="str">
            <v>BROYE-VULLY</v>
          </cell>
          <cell r="C51">
            <v>5663</v>
          </cell>
        </row>
        <row r="52">
          <cell r="A52" t="str">
            <v>Carrouge</v>
          </cell>
          <cell r="B52" t="str">
            <v>BROYE-VULLY</v>
          </cell>
          <cell r="C52">
            <v>5782</v>
          </cell>
        </row>
        <row r="53">
          <cell r="A53" t="str">
            <v>Chamblon</v>
          </cell>
          <cell r="B53" t="str">
            <v>JURA-NORD VAUDOIS</v>
          </cell>
          <cell r="C53">
            <v>5904</v>
          </cell>
        </row>
        <row r="54">
          <cell r="A54" t="str">
            <v>Champagne</v>
          </cell>
          <cell r="B54" t="str">
            <v>JURA-NORD VAUDOIS</v>
          </cell>
          <cell r="C54">
            <v>5553</v>
          </cell>
        </row>
        <row r="55">
          <cell r="A55" t="str">
            <v>Champtauroz</v>
          </cell>
          <cell r="B55" t="str">
            <v>BROYE-VULLY</v>
          </cell>
          <cell r="C55">
            <v>5812</v>
          </cell>
        </row>
        <row r="56">
          <cell r="A56" t="str">
            <v>Champvent</v>
          </cell>
          <cell r="B56" t="str">
            <v>JURA-NORD VAUDOIS</v>
          </cell>
          <cell r="C56">
            <v>5905</v>
          </cell>
        </row>
        <row r="57">
          <cell r="A57" t="str">
            <v>Chardonne</v>
          </cell>
          <cell r="B57" t="str">
            <v>RIVIERA-PAYS-D'ENHAUT</v>
          </cell>
          <cell r="C57">
            <v>5882</v>
          </cell>
        </row>
        <row r="58">
          <cell r="A58" t="str">
            <v>Château-d'Oex</v>
          </cell>
          <cell r="B58" t="str">
            <v>RIVIERA-PAYS-D'ENHAUT</v>
          </cell>
          <cell r="C58">
            <v>5841</v>
          </cell>
        </row>
        <row r="59">
          <cell r="A59" t="str">
            <v>Chavannes-de-Bogis</v>
          </cell>
          <cell r="B59" t="str">
            <v>NYON</v>
          </cell>
          <cell r="C59">
            <v>5707</v>
          </cell>
        </row>
        <row r="60">
          <cell r="A60" t="str">
            <v>Chavannes-des-Bois</v>
          </cell>
          <cell r="B60" t="str">
            <v>NYON</v>
          </cell>
          <cell r="C60">
            <v>5708</v>
          </cell>
        </row>
        <row r="61">
          <cell r="A61" t="str">
            <v>Chavannes-le-Chêne</v>
          </cell>
          <cell r="B61" t="str">
            <v>JURA-NORD VAUDOIS</v>
          </cell>
          <cell r="C61">
            <v>5907</v>
          </cell>
        </row>
        <row r="62">
          <cell r="A62" t="str">
            <v>Chavannes-le-Veyron</v>
          </cell>
          <cell r="B62" t="str">
            <v>MORGES</v>
          </cell>
          <cell r="C62">
            <v>5475</v>
          </cell>
        </row>
        <row r="63">
          <cell r="A63" t="str">
            <v>Chavannes-près-Renens</v>
          </cell>
          <cell r="B63" t="str">
            <v>OUEST LAUSANNOIS</v>
          </cell>
          <cell r="C63">
            <v>5627</v>
          </cell>
        </row>
        <row r="64">
          <cell r="A64" t="str">
            <v>Chavannes-sur-Moudon</v>
          </cell>
          <cell r="B64" t="str">
            <v>BROYE-VULLY</v>
          </cell>
          <cell r="C64">
            <v>5665</v>
          </cell>
        </row>
        <row r="65">
          <cell r="A65" t="str">
            <v>Chavornay</v>
          </cell>
          <cell r="B65" t="str">
            <v>JURA-NORD VAUDOIS</v>
          </cell>
          <cell r="C65">
            <v>5749</v>
          </cell>
        </row>
        <row r="66">
          <cell r="A66" t="str">
            <v>Chêne-Pâquier</v>
          </cell>
          <cell r="B66" t="str">
            <v>JURA-NORD VAUDOIS</v>
          </cell>
          <cell r="C66">
            <v>5908</v>
          </cell>
        </row>
        <row r="67">
          <cell r="A67" t="str">
            <v>Chesalles-sur-Moudon</v>
          </cell>
          <cell r="B67" t="str">
            <v>BROYE-VULLY</v>
          </cell>
          <cell r="C67">
            <v>5666</v>
          </cell>
        </row>
        <row r="68">
          <cell r="A68" t="str">
            <v>Cheseaux-Noréaz</v>
          </cell>
          <cell r="B68" t="str">
            <v>JURA-NORD VAUDOIS</v>
          </cell>
          <cell r="C68">
            <v>5909</v>
          </cell>
        </row>
        <row r="69">
          <cell r="A69" t="str">
            <v>Cheseaux-sur-Lausanne</v>
          </cell>
          <cell r="B69" t="str">
            <v>LAUSANNE</v>
          </cell>
          <cell r="C69">
            <v>5582</v>
          </cell>
        </row>
        <row r="70">
          <cell r="A70" t="str">
            <v>Chéserex</v>
          </cell>
          <cell r="B70" t="str">
            <v>NYON</v>
          </cell>
          <cell r="C70">
            <v>5709</v>
          </cell>
        </row>
        <row r="71">
          <cell r="A71" t="str">
            <v>Chessel</v>
          </cell>
          <cell r="B71" t="str">
            <v>AIGLE</v>
          </cell>
          <cell r="C71">
            <v>5403</v>
          </cell>
        </row>
        <row r="72">
          <cell r="A72" t="str">
            <v>Chevilly</v>
          </cell>
          <cell r="B72" t="str">
            <v>MORGES</v>
          </cell>
          <cell r="C72">
            <v>5476</v>
          </cell>
        </row>
        <row r="73">
          <cell r="A73" t="str">
            <v>Chevroux</v>
          </cell>
          <cell r="B73" t="str">
            <v>BROYE-VULLY</v>
          </cell>
          <cell r="C73">
            <v>5813</v>
          </cell>
        </row>
        <row r="74">
          <cell r="A74" t="str">
            <v>Chexbres</v>
          </cell>
          <cell r="B74" t="str">
            <v>LAVAUX-ORON</v>
          </cell>
          <cell r="C74">
            <v>5601</v>
          </cell>
        </row>
        <row r="75">
          <cell r="A75" t="str">
            <v>Chigny</v>
          </cell>
          <cell r="B75" t="str">
            <v>MORGES</v>
          </cell>
          <cell r="C75">
            <v>5628</v>
          </cell>
        </row>
        <row r="76">
          <cell r="A76" t="str">
            <v>Clarmont</v>
          </cell>
          <cell r="B76" t="str">
            <v>MORGES</v>
          </cell>
          <cell r="C76">
            <v>5629</v>
          </cell>
        </row>
        <row r="77">
          <cell r="A77" t="str">
            <v>Coinsins</v>
          </cell>
          <cell r="B77" t="str">
            <v>NYON</v>
          </cell>
          <cell r="C77">
            <v>5710</v>
          </cell>
        </row>
        <row r="78">
          <cell r="A78" t="str">
            <v>Commugny</v>
          </cell>
          <cell r="B78" t="str">
            <v>NYON</v>
          </cell>
          <cell r="C78">
            <v>5711</v>
          </cell>
        </row>
        <row r="79">
          <cell r="A79" t="str">
            <v>Concise</v>
          </cell>
          <cell r="B79" t="str">
            <v>JURA-NORD VAUDOIS</v>
          </cell>
          <cell r="C79">
            <v>5554</v>
          </cell>
        </row>
        <row r="80">
          <cell r="A80" t="str">
            <v>Coppet</v>
          </cell>
          <cell r="B80" t="str">
            <v>NYON</v>
          </cell>
          <cell r="C80">
            <v>5712</v>
          </cell>
        </row>
        <row r="81">
          <cell r="A81" t="str">
            <v>Corbeyrier</v>
          </cell>
          <cell r="B81" t="str">
            <v>AIGLE</v>
          </cell>
          <cell r="C81">
            <v>5404</v>
          </cell>
        </row>
        <row r="82">
          <cell r="A82" t="str">
            <v>Corcelles-le-Jorat</v>
          </cell>
          <cell r="B82" t="str">
            <v>BROYE-VULLY</v>
          </cell>
          <cell r="C82">
            <v>5785</v>
          </cell>
        </row>
        <row r="83">
          <cell r="A83" t="str">
            <v>Corcelles-près-Concise</v>
          </cell>
          <cell r="B83" t="str">
            <v>JURA-NORD VAUDOIS</v>
          </cell>
          <cell r="C83">
            <v>5555</v>
          </cell>
        </row>
        <row r="84">
          <cell r="A84" t="str">
            <v>Corcelles-près-Payerne</v>
          </cell>
          <cell r="B84" t="str">
            <v>BROYE-VULLY</v>
          </cell>
          <cell r="C84">
            <v>5816</v>
          </cell>
        </row>
        <row r="85">
          <cell r="A85" t="str">
            <v>Corcelles-sur-Chavornay</v>
          </cell>
          <cell r="B85" t="str">
            <v>JURA-NORD VAUDOIS</v>
          </cell>
          <cell r="C85">
            <v>5751</v>
          </cell>
        </row>
        <row r="86">
          <cell r="A86" t="str">
            <v>Corseaux</v>
          </cell>
          <cell r="B86" t="str">
            <v>RIVIERA-PAYS-D'ENHAUT</v>
          </cell>
          <cell r="C86">
            <v>5883</v>
          </cell>
        </row>
        <row r="87">
          <cell r="A87" t="str">
            <v>Corsier-sur-Vevey</v>
          </cell>
          <cell r="B87" t="str">
            <v>RIVIERA-PAYS-D'ENHAUT</v>
          </cell>
          <cell r="C87">
            <v>5884</v>
          </cell>
        </row>
        <row r="88">
          <cell r="A88" t="str">
            <v>Cossonay</v>
          </cell>
          <cell r="B88" t="str">
            <v>MORGES</v>
          </cell>
          <cell r="C88">
            <v>5477</v>
          </cell>
        </row>
        <row r="89">
          <cell r="A89" t="str">
            <v>Cottens</v>
          </cell>
          <cell r="B89" t="str">
            <v>MORGES</v>
          </cell>
          <cell r="C89">
            <v>5478</v>
          </cell>
        </row>
        <row r="90">
          <cell r="A90" t="str">
            <v>Crans-près-Céligny</v>
          </cell>
          <cell r="B90" t="str">
            <v>NYON</v>
          </cell>
          <cell r="C90">
            <v>5713</v>
          </cell>
        </row>
        <row r="91">
          <cell r="A91" t="str">
            <v>Crassier</v>
          </cell>
          <cell r="B91" t="str">
            <v>NYON</v>
          </cell>
          <cell r="C91">
            <v>5714</v>
          </cell>
        </row>
        <row r="92">
          <cell r="A92" t="str">
            <v>Cremin</v>
          </cell>
          <cell r="B92" t="str">
            <v>BROYE-VULLY</v>
          </cell>
          <cell r="C92">
            <v>5668</v>
          </cell>
        </row>
        <row r="93">
          <cell r="A93" t="str">
            <v>Crissier</v>
          </cell>
          <cell r="B93" t="str">
            <v>OUEST LAUSANNOIS</v>
          </cell>
          <cell r="C93">
            <v>5583</v>
          </cell>
        </row>
        <row r="94">
          <cell r="A94" t="str">
            <v>Cronay</v>
          </cell>
          <cell r="B94" t="str">
            <v>JURA-NORD VAUDOIS</v>
          </cell>
          <cell r="C94">
            <v>5910</v>
          </cell>
        </row>
        <row r="95">
          <cell r="A95" t="str">
            <v>Croy</v>
          </cell>
          <cell r="B95" t="str">
            <v>JURA-NORD VAUDOIS</v>
          </cell>
          <cell r="C95">
            <v>5752</v>
          </cell>
        </row>
        <row r="96">
          <cell r="A96" t="str">
            <v>Cuarnens</v>
          </cell>
          <cell r="B96" t="str">
            <v>MORGES</v>
          </cell>
          <cell r="C96">
            <v>5479</v>
          </cell>
        </row>
        <row r="97">
          <cell r="A97" t="str">
            <v>Cuarny</v>
          </cell>
          <cell r="B97" t="str">
            <v>JURA-NORD VAUDOIS</v>
          </cell>
          <cell r="C97">
            <v>5911</v>
          </cell>
        </row>
        <row r="98">
          <cell r="A98" t="str">
            <v>Cudrefin</v>
          </cell>
          <cell r="B98" t="str">
            <v>BROYE-VULLY</v>
          </cell>
          <cell r="C98">
            <v>5456</v>
          </cell>
        </row>
        <row r="99">
          <cell r="A99" t="str">
            <v>Cugy</v>
          </cell>
          <cell r="B99" t="str">
            <v>GROS-DE-VAUD</v>
          </cell>
          <cell r="C99">
            <v>5516</v>
          </cell>
        </row>
        <row r="100">
          <cell r="A100" t="str">
            <v>Curtilles</v>
          </cell>
          <cell r="B100" t="str">
            <v>BROYE-VULLY</v>
          </cell>
          <cell r="C100">
            <v>5669</v>
          </cell>
        </row>
        <row r="101">
          <cell r="A101" t="str">
            <v>Daillens</v>
          </cell>
          <cell r="B101" t="str">
            <v>GROS-DE-VAUD</v>
          </cell>
          <cell r="C101">
            <v>5480</v>
          </cell>
        </row>
        <row r="102">
          <cell r="A102" t="str">
            <v>Démoret</v>
          </cell>
          <cell r="B102" t="str">
            <v>JURA-NORD VAUDOIS</v>
          </cell>
          <cell r="C102">
            <v>5912</v>
          </cell>
        </row>
        <row r="103">
          <cell r="A103" t="str">
            <v>Denens</v>
          </cell>
          <cell r="B103" t="str">
            <v>MORGES</v>
          </cell>
          <cell r="C103">
            <v>5631</v>
          </cell>
        </row>
        <row r="104">
          <cell r="A104" t="str">
            <v>Denges</v>
          </cell>
          <cell r="B104" t="str">
            <v>MORGES</v>
          </cell>
          <cell r="C104">
            <v>5632</v>
          </cell>
        </row>
        <row r="105">
          <cell r="A105" t="str">
            <v>Dizy</v>
          </cell>
          <cell r="B105" t="str">
            <v>MORGES</v>
          </cell>
          <cell r="C105">
            <v>5481</v>
          </cell>
        </row>
        <row r="106">
          <cell r="A106" t="str">
            <v>Dompierre</v>
          </cell>
          <cell r="B106" t="str">
            <v>BROYE-VULLY</v>
          </cell>
          <cell r="C106">
            <v>5671</v>
          </cell>
        </row>
        <row r="107">
          <cell r="A107" t="str">
            <v>Donneloye</v>
          </cell>
          <cell r="B107" t="str">
            <v>JURA-NORD VAUDOIS</v>
          </cell>
          <cell r="C107">
            <v>5913</v>
          </cell>
        </row>
        <row r="108">
          <cell r="A108" t="str">
            <v>Duillier</v>
          </cell>
          <cell r="B108" t="str">
            <v>NYON</v>
          </cell>
          <cell r="C108">
            <v>5715</v>
          </cell>
        </row>
        <row r="109">
          <cell r="A109" t="str">
            <v>Dully</v>
          </cell>
          <cell r="B109" t="str">
            <v>NYON</v>
          </cell>
          <cell r="C109">
            <v>5855</v>
          </cell>
        </row>
        <row r="110">
          <cell r="A110" t="str">
            <v>Echallens</v>
          </cell>
          <cell r="B110" t="str">
            <v>GROS-DE-VAUD</v>
          </cell>
          <cell r="C110">
            <v>5518</v>
          </cell>
        </row>
        <row r="111">
          <cell r="A111" t="str">
            <v>Echandens</v>
          </cell>
          <cell r="B111" t="str">
            <v>MORGES</v>
          </cell>
          <cell r="C111">
            <v>5633</v>
          </cell>
        </row>
        <row r="112">
          <cell r="A112" t="str">
            <v>Echichens</v>
          </cell>
          <cell r="B112" t="str">
            <v>MORGES</v>
          </cell>
          <cell r="C112">
            <v>5634</v>
          </cell>
        </row>
        <row r="113">
          <cell r="A113" t="str">
            <v>Eclépens</v>
          </cell>
          <cell r="B113" t="str">
            <v>MORGES</v>
          </cell>
          <cell r="C113">
            <v>5482</v>
          </cell>
        </row>
        <row r="114">
          <cell r="A114" t="str">
            <v>Ecublens</v>
          </cell>
          <cell r="B114" t="str">
            <v>OUEST LAUSANNOIS</v>
          </cell>
          <cell r="C114">
            <v>5635</v>
          </cell>
        </row>
        <row r="115">
          <cell r="A115" t="str">
            <v>Epalinges</v>
          </cell>
          <cell r="B115" t="str">
            <v>LAUSANNE</v>
          </cell>
          <cell r="C115">
            <v>5584</v>
          </cell>
        </row>
        <row r="116">
          <cell r="A116" t="str">
            <v>Ependes</v>
          </cell>
          <cell r="B116" t="str">
            <v>JURA-NORD VAUDOIS</v>
          </cell>
          <cell r="C116">
            <v>5914</v>
          </cell>
        </row>
        <row r="117">
          <cell r="A117" t="str">
            <v>Essertes</v>
          </cell>
          <cell r="B117" t="str">
            <v>LAVAUX-ORON</v>
          </cell>
          <cell r="C117">
            <v>5788</v>
          </cell>
        </row>
        <row r="118">
          <cell r="A118" t="str">
            <v>Essertines-sur-Rolle</v>
          </cell>
          <cell r="B118" t="str">
            <v>NYON</v>
          </cell>
          <cell r="C118">
            <v>5856</v>
          </cell>
        </row>
        <row r="119">
          <cell r="A119" t="str">
            <v>Essertines-sur-Yverdon</v>
          </cell>
          <cell r="B119" t="str">
            <v>GROS-DE-VAUD</v>
          </cell>
          <cell r="C119">
            <v>5520</v>
          </cell>
        </row>
        <row r="120">
          <cell r="A120" t="str">
            <v>Essert-Pittet</v>
          </cell>
          <cell r="B120" t="str">
            <v>JURA-NORD VAUDOIS</v>
          </cell>
          <cell r="C120">
            <v>5915</v>
          </cell>
        </row>
        <row r="121">
          <cell r="A121" t="str">
            <v>Etagnières</v>
          </cell>
          <cell r="B121" t="str">
            <v>GROS-DE-VAUD</v>
          </cell>
          <cell r="C121">
            <v>5521</v>
          </cell>
        </row>
        <row r="122">
          <cell r="A122" t="str">
            <v>Etoy</v>
          </cell>
          <cell r="B122" t="str">
            <v>MORGES</v>
          </cell>
          <cell r="C122">
            <v>5636</v>
          </cell>
        </row>
        <row r="123">
          <cell r="A123" t="str">
            <v>Eysins</v>
          </cell>
          <cell r="B123" t="str">
            <v>NYON</v>
          </cell>
          <cell r="C123">
            <v>5716</v>
          </cell>
        </row>
        <row r="124">
          <cell r="A124" t="str">
            <v>Faoug</v>
          </cell>
          <cell r="B124" t="str">
            <v>BROYE-VULLY</v>
          </cell>
          <cell r="C124">
            <v>5458</v>
          </cell>
        </row>
        <row r="125">
          <cell r="A125" t="str">
            <v>Féchy</v>
          </cell>
          <cell r="B125" t="str">
            <v>MORGES</v>
          </cell>
          <cell r="C125">
            <v>5427</v>
          </cell>
        </row>
        <row r="126">
          <cell r="A126" t="str">
            <v>Ferlens</v>
          </cell>
          <cell r="B126" t="str">
            <v>LAVAUX-ORON</v>
          </cell>
          <cell r="C126">
            <v>5789</v>
          </cell>
        </row>
        <row r="127">
          <cell r="A127" t="str">
            <v>Ferreyres</v>
          </cell>
          <cell r="B127" t="str">
            <v>MORGES</v>
          </cell>
          <cell r="C127">
            <v>5483</v>
          </cell>
        </row>
        <row r="128">
          <cell r="A128" t="str">
            <v>Fey</v>
          </cell>
          <cell r="B128" t="str">
            <v>GROS-DE-VAUD</v>
          </cell>
          <cell r="C128">
            <v>5522</v>
          </cell>
        </row>
        <row r="129">
          <cell r="A129" t="str">
            <v>Fiez</v>
          </cell>
          <cell r="B129" t="str">
            <v>JURA-NORD VAUDOIS</v>
          </cell>
          <cell r="C129">
            <v>5556</v>
          </cell>
        </row>
        <row r="130">
          <cell r="A130" t="str">
            <v>Fontaines-sur-Grandson</v>
          </cell>
          <cell r="B130" t="str">
            <v>JURA-NORD VAUDOIS</v>
          </cell>
          <cell r="C130">
            <v>5557</v>
          </cell>
        </row>
        <row r="131">
          <cell r="A131" t="str">
            <v>Forel (Lavaux)</v>
          </cell>
          <cell r="B131" t="str">
            <v>LAVAUX-ORON</v>
          </cell>
          <cell r="C131">
            <v>5604</v>
          </cell>
        </row>
        <row r="132">
          <cell r="A132" t="str">
            <v>Forel-sur-Lucens</v>
          </cell>
          <cell r="B132" t="str">
            <v>BROYE-VULLY</v>
          </cell>
          <cell r="C132">
            <v>5672</v>
          </cell>
        </row>
        <row r="133">
          <cell r="A133" t="str">
            <v>Founex</v>
          </cell>
          <cell r="B133" t="str">
            <v>NYON</v>
          </cell>
          <cell r="C133">
            <v>5717</v>
          </cell>
        </row>
        <row r="134">
          <cell r="A134" t="str">
            <v>Froideville</v>
          </cell>
          <cell r="B134" t="str">
            <v>GROS-DE-VAUD</v>
          </cell>
          <cell r="C134">
            <v>5523</v>
          </cell>
        </row>
        <row r="135">
          <cell r="A135" t="str">
            <v>Genolier</v>
          </cell>
          <cell r="B135" t="str">
            <v>NYON</v>
          </cell>
          <cell r="C135">
            <v>5718</v>
          </cell>
        </row>
        <row r="136">
          <cell r="A136" t="str">
            <v>Giez</v>
          </cell>
          <cell r="B136" t="str">
            <v>JURA-NORD VAUDOIS</v>
          </cell>
          <cell r="C136">
            <v>5559</v>
          </cell>
        </row>
        <row r="137">
          <cell r="A137" t="str">
            <v>Gilly</v>
          </cell>
          <cell r="B137" t="str">
            <v>NYON</v>
          </cell>
          <cell r="C137">
            <v>5857</v>
          </cell>
        </row>
        <row r="138">
          <cell r="A138" t="str">
            <v>Gimel</v>
          </cell>
          <cell r="B138" t="str">
            <v>MORGES</v>
          </cell>
          <cell r="C138">
            <v>5428</v>
          </cell>
        </row>
        <row r="139">
          <cell r="A139" t="str">
            <v>Gingins</v>
          </cell>
          <cell r="B139" t="str">
            <v>NYON</v>
          </cell>
          <cell r="C139">
            <v>5719</v>
          </cell>
        </row>
        <row r="140">
          <cell r="A140" t="str">
            <v>Givrins</v>
          </cell>
          <cell r="B140" t="str">
            <v>NYON</v>
          </cell>
          <cell r="C140">
            <v>5720</v>
          </cell>
        </row>
        <row r="141">
          <cell r="A141" t="str">
            <v>Gland</v>
          </cell>
          <cell r="B141" t="str">
            <v>NYON</v>
          </cell>
          <cell r="C141">
            <v>5721</v>
          </cell>
        </row>
        <row r="142">
          <cell r="A142" t="str">
            <v>Gollion</v>
          </cell>
          <cell r="B142" t="str">
            <v>MORGES</v>
          </cell>
          <cell r="C142">
            <v>5484</v>
          </cell>
        </row>
        <row r="143">
          <cell r="A143" t="str">
            <v>Goumoëns</v>
          </cell>
          <cell r="B143" t="str">
            <v>GROS-DE-VAUD</v>
          </cell>
          <cell r="C143">
            <v>5541</v>
          </cell>
        </row>
        <row r="144">
          <cell r="A144" t="str">
            <v>Grancy</v>
          </cell>
          <cell r="B144" t="str">
            <v>MORGES</v>
          </cell>
          <cell r="C144">
            <v>5485</v>
          </cell>
        </row>
        <row r="145">
          <cell r="A145" t="str">
            <v>Grandcour</v>
          </cell>
          <cell r="B145" t="str">
            <v>BROYE-VULLY</v>
          </cell>
          <cell r="C145">
            <v>5817</v>
          </cell>
        </row>
        <row r="146">
          <cell r="A146" t="str">
            <v>Grandevent</v>
          </cell>
          <cell r="B146" t="str">
            <v>JURA-NORD VAUDOIS</v>
          </cell>
          <cell r="C146">
            <v>5560</v>
          </cell>
        </row>
        <row r="147">
          <cell r="A147" t="str">
            <v>Grandson</v>
          </cell>
          <cell r="B147" t="str">
            <v>JURA-NORD VAUDOIS</v>
          </cell>
          <cell r="C147">
            <v>5561</v>
          </cell>
        </row>
        <row r="148">
          <cell r="A148" t="str">
            <v>Grens</v>
          </cell>
          <cell r="B148" t="str">
            <v>NYON</v>
          </cell>
          <cell r="C148">
            <v>5722</v>
          </cell>
        </row>
        <row r="149">
          <cell r="A149" t="str">
            <v>Gryon</v>
          </cell>
          <cell r="B149" t="str">
            <v>AIGLE</v>
          </cell>
          <cell r="C149">
            <v>5405</v>
          </cell>
        </row>
        <row r="150">
          <cell r="A150" t="str">
            <v>Henniez</v>
          </cell>
          <cell r="B150" t="str">
            <v>BROYE-VULLY</v>
          </cell>
          <cell r="C150">
            <v>5819</v>
          </cell>
        </row>
        <row r="151">
          <cell r="A151" t="str">
            <v>Hermenches</v>
          </cell>
          <cell r="B151" t="str">
            <v>BROYE-VULLY</v>
          </cell>
          <cell r="C151">
            <v>5673</v>
          </cell>
        </row>
        <row r="152">
          <cell r="A152" t="str">
            <v>Jongny</v>
          </cell>
          <cell r="B152" t="str">
            <v>RIVIERA-PAYS-D'ENHAUT</v>
          </cell>
          <cell r="C152">
            <v>5885</v>
          </cell>
        </row>
        <row r="153">
          <cell r="A153" t="str">
            <v>Jorat-Menthue</v>
          </cell>
          <cell r="B153" t="str">
            <v>GROS-DE-VAUD</v>
          </cell>
          <cell r="C153">
            <v>5804</v>
          </cell>
        </row>
        <row r="154">
          <cell r="A154" t="str">
            <v>Jouxtens-Mézery</v>
          </cell>
          <cell r="B154" t="str">
            <v>LAUSANNE</v>
          </cell>
          <cell r="C154">
            <v>5585</v>
          </cell>
        </row>
        <row r="155">
          <cell r="A155" t="str">
            <v>Juriens</v>
          </cell>
          <cell r="B155" t="str">
            <v>JURA-NORD VAUDOIS</v>
          </cell>
          <cell r="C155">
            <v>5754</v>
          </cell>
        </row>
        <row r="156">
          <cell r="A156" t="str">
            <v>La Chaux (Cossonay)</v>
          </cell>
          <cell r="B156" t="str">
            <v>MORGES</v>
          </cell>
          <cell r="C156">
            <v>5474</v>
          </cell>
        </row>
        <row r="157">
          <cell r="A157" t="str">
            <v>La Praz</v>
          </cell>
          <cell r="B157" t="str">
            <v>JURA-NORD VAUDOIS</v>
          </cell>
          <cell r="C157">
            <v>5758</v>
          </cell>
        </row>
        <row r="158">
          <cell r="A158" t="str">
            <v>La Rippe</v>
          </cell>
          <cell r="B158" t="str">
            <v>NYON</v>
          </cell>
          <cell r="C158">
            <v>5726</v>
          </cell>
        </row>
        <row r="159">
          <cell r="A159" t="str">
            <v>La Sarraz</v>
          </cell>
          <cell r="B159" t="str">
            <v>MORGES</v>
          </cell>
          <cell r="C159">
            <v>5498</v>
          </cell>
        </row>
        <row r="160">
          <cell r="A160" t="str">
            <v>La Tour-de-Peilz</v>
          </cell>
          <cell r="B160" t="str">
            <v>RIVIERA-PAYS-D'ENHAUT</v>
          </cell>
          <cell r="C160">
            <v>5889</v>
          </cell>
        </row>
        <row r="161">
          <cell r="A161" t="str">
            <v>L'Abbaye</v>
          </cell>
          <cell r="B161" t="str">
            <v>JURA-NORD VAUDOIS</v>
          </cell>
          <cell r="C161">
            <v>5871</v>
          </cell>
        </row>
        <row r="162">
          <cell r="A162" t="str">
            <v>L'Abergement</v>
          </cell>
          <cell r="B162" t="str">
            <v>JURA-NORD VAUDOIS</v>
          </cell>
          <cell r="C162">
            <v>5741</v>
          </cell>
        </row>
        <row r="163">
          <cell r="A163" t="str">
            <v>Lausanne</v>
          </cell>
          <cell r="B163" t="str">
            <v>LAUSANNE</v>
          </cell>
          <cell r="C163">
            <v>5586</v>
          </cell>
        </row>
        <row r="164">
          <cell r="A164" t="str">
            <v>Lavey-Morcles</v>
          </cell>
          <cell r="B164" t="str">
            <v>AIGLE</v>
          </cell>
          <cell r="C164">
            <v>5406</v>
          </cell>
        </row>
        <row r="165">
          <cell r="A165" t="str">
            <v>Lavigny</v>
          </cell>
          <cell r="B165" t="str">
            <v>MORGES</v>
          </cell>
          <cell r="C165">
            <v>5637</v>
          </cell>
        </row>
        <row r="166">
          <cell r="A166" t="str">
            <v>Le Brassus (fraction)</v>
          </cell>
          <cell r="B166" t="str">
            <v>JURA-NORD VAUDOIS</v>
          </cell>
          <cell r="C166" t="e">
            <v>#N/A</v>
          </cell>
        </row>
        <row r="167">
          <cell r="A167" t="str">
            <v>Le Chenit</v>
          </cell>
          <cell r="B167" t="str">
            <v>JURA-NORD VAUDOIS</v>
          </cell>
          <cell r="C167">
            <v>5872</v>
          </cell>
        </row>
        <row r="168">
          <cell r="A168" t="str">
            <v>Le Lieu</v>
          </cell>
          <cell r="B168" t="str">
            <v>JURA-NORD VAUDOIS</v>
          </cell>
          <cell r="C168">
            <v>5873</v>
          </cell>
        </row>
        <row r="169">
          <cell r="A169" t="str">
            <v>Le Mont-sur-Lausanne</v>
          </cell>
          <cell r="B169" t="str">
            <v>LAUSANNE</v>
          </cell>
          <cell r="C169">
            <v>5587</v>
          </cell>
        </row>
        <row r="170">
          <cell r="A170" t="str">
            <v>Le Sentier (fraction)</v>
          </cell>
          <cell r="B170" t="str">
            <v>JURA-NORD VAUDOIS</v>
          </cell>
          <cell r="C170" t="e">
            <v>#N/A</v>
          </cell>
        </row>
        <row r="171">
          <cell r="A171" t="str">
            <v>Le Vaud</v>
          </cell>
          <cell r="B171" t="str">
            <v>NYON</v>
          </cell>
          <cell r="C171">
            <v>5731</v>
          </cell>
        </row>
        <row r="172">
          <cell r="A172" t="str">
            <v>Les Bioux (fraction)</v>
          </cell>
          <cell r="B172" t="str">
            <v>JURA-NORD VAUDOIS</v>
          </cell>
          <cell r="C172" t="e">
            <v>#N/A</v>
          </cell>
        </row>
        <row r="173">
          <cell r="A173" t="str">
            <v>Les Clées</v>
          </cell>
          <cell r="B173" t="str">
            <v>JURA-NORD VAUDOIS</v>
          </cell>
          <cell r="C173">
            <v>5750</v>
          </cell>
        </row>
        <row r="174">
          <cell r="A174" t="str">
            <v>Leysin</v>
          </cell>
          <cell r="B174" t="str">
            <v>AIGLE</v>
          </cell>
          <cell r="C174">
            <v>5407</v>
          </cell>
        </row>
        <row r="175">
          <cell r="A175" t="str">
            <v>Lignerolle</v>
          </cell>
          <cell r="B175" t="str">
            <v>JURA-NORD VAUDOIS</v>
          </cell>
          <cell r="C175">
            <v>5755</v>
          </cell>
        </row>
        <row r="176">
          <cell r="A176" t="str">
            <v>L'Isle</v>
          </cell>
          <cell r="B176" t="str">
            <v>MORGES</v>
          </cell>
          <cell r="C176">
            <v>5486</v>
          </cell>
        </row>
        <row r="177">
          <cell r="A177" t="str">
            <v>Lonay</v>
          </cell>
          <cell r="B177" t="str">
            <v>MORGES</v>
          </cell>
          <cell r="C177">
            <v>5638</v>
          </cell>
        </row>
        <row r="178">
          <cell r="A178" t="str">
            <v>Longirod</v>
          </cell>
          <cell r="B178" t="str">
            <v>NYON</v>
          </cell>
          <cell r="C178">
            <v>5429</v>
          </cell>
        </row>
        <row r="179">
          <cell r="A179" t="str">
            <v>L'Orient (fraction)</v>
          </cell>
          <cell r="B179" t="str">
            <v>JURA-NORD VAUDOIS</v>
          </cell>
          <cell r="C179" t="e">
            <v>#N/A</v>
          </cell>
        </row>
        <row r="180">
          <cell r="A180" t="str">
            <v>Lovatens</v>
          </cell>
          <cell r="B180" t="str">
            <v>BROYE-VULLY</v>
          </cell>
          <cell r="C180">
            <v>5674</v>
          </cell>
        </row>
        <row r="181">
          <cell r="A181" t="str">
            <v>Lucens</v>
          </cell>
          <cell r="B181" t="str">
            <v>BROYE-VULLY</v>
          </cell>
          <cell r="C181">
            <v>5675</v>
          </cell>
        </row>
        <row r="182">
          <cell r="A182" t="str">
            <v>Luins</v>
          </cell>
          <cell r="B182" t="str">
            <v>NYON</v>
          </cell>
          <cell r="C182">
            <v>5858</v>
          </cell>
        </row>
        <row r="183">
          <cell r="A183" t="str">
            <v>Lully</v>
          </cell>
          <cell r="B183" t="str">
            <v>MORGES</v>
          </cell>
          <cell r="C183">
            <v>5639</v>
          </cell>
        </row>
        <row r="184">
          <cell r="A184" t="str">
            <v>Lussery-Villars</v>
          </cell>
          <cell r="B184" t="str">
            <v>GROS-DE-VAUD</v>
          </cell>
          <cell r="C184">
            <v>5487</v>
          </cell>
        </row>
        <row r="185">
          <cell r="A185" t="str">
            <v>Lussy-sur-Morges</v>
          </cell>
          <cell r="B185" t="str">
            <v>MORGES</v>
          </cell>
          <cell r="C185">
            <v>5640</v>
          </cell>
        </row>
        <row r="186">
          <cell r="A186" t="str">
            <v>Lutry</v>
          </cell>
          <cell r="B186" t="str">
            <v>LAVAUX-ORON</v>
          </cell>
          <cell r="C186">
            <v>5606</v>
          </cell>
        </row>
        <row r="187">
          <cell r="A187" t="str">
            <v>Maracon</v>
          </cell>
          <cell r="B187" t="str">
            <v>LAVAUX-ORON</v>
          </cell>
          <cell r="C187">
            <v>5790</v>
          </cell>
        </row>
        <row r="188">
          <cell r="A188" t="str">
            <v>Marchissy</v>
          </cell>
          <cell r="B188" t="str">
            <v>NYON</v>
          </cell>
          <cell r="C188">
            <v>5430</v>
          </cell>
        </row>
        <row r="189">
          <cell r="A189" t="str">
            <v>Mathod</v>
          </cell>
          <cell r="B189" t="str">
            <v>JURA-NORD VAUDOIS</v>
          </cell>
          <cell r="C189">
            <v>5919</v>
          </cell>
        </row>
        <row r="190">
          <cell r="A190" t="str">
            <v>Mauborget</v>
          </cell>
          <cell r="B190" t="str">
            <v>JURA-NORD VAUDOIS</v>
          </cell>
          <cell r="C190">
            <v>5562</v>
          </cell>
        </row>
        <row r="191">
          <cell r="A191" t="str">
            <v>Mauraz</v>
          </cell>
          <cell r="B191" t="str">
            <v>MORGES</v>
          </cell>
          <cell r="C191">
            <v>5488</v>
          </cell>
        </row>
        <row r="192">
          <cell r="A192" t="str">
            <v>Mex</v>
          </cell>
          <cell r="B192" t="str">
            <v>GROS-DE-VAUD</v>
          </cell>
          <cell r="C192">
            <v>5489</v>
          </cell>
        </row>
        <row r="193">
          <cell r="A193" t="str">
            <v>Mézières</v>
          </cell>
          <cell r="B193" t="str">
            <v>LAVAUX-ORON</v>
          </cell>
          <cell r="C193">
            <v>5791</v>
          </cell>
        </row>
        <row r="194">
          <cell r="A194" t="str">
            <v>Mies</v>
          </cell>
          <cell r="B194" t="str">
            <v>NYON</v>
          </cell>
          <cell r="C194">
            <v>5723</v>
          </cell>
        </row>
        <row r="195">
          <cell r="A195" t="str">
            <v>Missy</v>
          </cell>
          <cell r="B195" t="str">
            <v>BROYE-VULLY</v>
          </cell>
          <cell r="C195">
            <v>5821</v>
          </cell>
        </row>
        <row r="196">
          <cell r="A196" t="str">
            <v>Moiry</v>
          </cell>
          <cell r="B196" t="str">
            <v>MORGES</v>
          </cell>
          <cell r="C196">
            <v>5490</v>
          </cell>
        </row>
        <row r="197">
          <cell r="A197" t="str">
            <v>Mollens</v>
          </cell>
          <cell r="B197" t="str">
            <v>MORGES</v>
          </cell>
          <cell r="C197">
            <v>5431</v>
          </cell>
        </row>
        <row r="198">
          <cell r="A198" t="str">
            <v>Molondin</v>
          </cell>
          <cell r="B198" t="str">
            <v>JURA-NORD VAUDOIS</v>
          </cell>
          <cell r="C198">
            <v>5921</v>
          </cell>
        </row>
        <row r="199">
          <cell r="A199" t="str">
            <v>Montagny-près-Yverdon</v>
          </cell>
          <cell r="B199" t="str">
            <v>JURA-NORD VAUDOIS</v>
          </cell>
          <cell r="C199">
            <v>5922</v>
          </cell>
        </row>
        <row r="200">
          <cell r="A200" t="str">
            <v>Montanaire</v>
          </cell>
          <cell r="B200" t="str">
            <v>GROS-DE-VAUD</v>
          </cell>
          <cell r="C200">
            <v>5693</v>
          </cell>
        </row>
        <row r="201">
          <cell r="A201" t="str">
            <v>Montcherand</v>
          </cell>
          <cell r="B201" t="str">
            <v>JURA-NORD VAUDOIS</v>
          </cell>
          <cell r="C201">
            <v>5756</v>
          </cell>
        </row>
        <row r="202">
          <cell r="A202" t="str">
            <v>Montherod</v>
          </cell>
          <cell r="B202" t="str">
            <v>MORGES</v>
          </cell>
          <cell r="C202">
            <v>5432</v>
          </cell>
        </row>
        <row r="203">
          <cell r="A203" t="str">
            <v>Montilliez</v>
          </cell>
          <cell r="B203" t="str">
            <v>GROS-DE-VAUD</v>
          </cell>
          <cell r="C203">
            <v>5540</v>
          </cell>
        </row>
        <row r="204">
          <cell r="A204" t="str">
            <v>Mont-la-Ville</v>
          </cell>
          <cell r="B204" t="str">
            <v>MORGES</v>
          </cell>
          <cell r="C204">
            <v>5491</v>
          </cell>
        </row>
        <row r="205">
          <cell r="A205" t="str">
            <v>Montpreveyres</v>
          </cell>
          <cell r="B205" t="str">
            <v>LAVAUX-ORON</v>
          </cell>
          <cell r="C205">
            <v>5792</v>
          </cell>
        </row>
        <row r="206">
          <cell r="A206" t="str">
            <v>Montreux</v>
          </cell>
          <cell r="B206" t="str">
            <v>RIVIERA-PAYS-D'ENHAUT</v>
          </cell>
          <cell r="C206">
            <v>5886</v>
          </cell>
        </row>
        <row r="207">
          <cell r="A207" t="str">
            <v>Montricher</v>
          </cell>
          <cell r="B207" t="str">
            <v>MORGES</v>
          </cell>
          <cell r="C207">
            <v>5492</v>
          </cell>
        </row>
        <row r="208">
          <cell r="A208" t="str">
            <v>Mont-sur-Rolle</v>
          </cell>
          <cell r="B208" t="str">
            <v>NYON</v>
          </cell>
          <cell r="C208">
            <v>5859</v>
          </cell>
        </row>
        <row r="209">
          <cell r="A209" t="str">
            <v>Morges</v>
          </cell>
          <cell r="B209" t="str">
            <v>MORGES</v>
          </cell>
          <cell r="C209">
            <v>5642</v>
          </cell>
        </row>
        <row r="210">
          <cell r="A210" t="str">
            <v>Morrens</v>
          </cell>
          <cell r="B210" t="str">
            <v>GROS-DE-VAUD</v>
          </cell>
          <cell r="C210">
            <v>5527</v>
          </cell>
        </row>
        <row r="211">
          <cell r="A211" t="str">
            <v>Moudon</v>
          </cell>
          <cell r="B211" t="str">
            <v>BROYE-VULLY</v>
          </cell>
          <cell r="C211">
            <v>5678</v>
          </cell>
        </row>
        <row r="212">
          <cell r="A212" t="str">
            <v>Mutrux</v>
          </cell>
          <cell r="B212" t="str">
            <v>JURA-NORD VAUDOIS</v>
          </cell>
          <cell r="C212">
            <v>5563</v>
          </cell>
        </row>
        <row r="213">
          <cell r="A213" t="str">
            <v>Novalles</v>
          </cell>
          <cell r="B213" t="str">
            <v>JURA-NORD VAUDOIS</v>
          </cell>
          <cell r="C213">
            <v>5564</v>
          </cell>
        </row>
        <row r="214">
          <cell r="A214" t="str">
            <v>Noville</v>
          </cell>
          <cell r="B214" t="str">
            <v>AIGLE</v>
          </cell>
          <cell r="C214">
            <v>5408</v>
          </cell>
        </row>
        <row r="215">
          <cell r="A215" t="str">
            <v>Nyon</v>
          </cell>
          <cell r="B215" t="str">
            <v>NYON</v>
          </cell>
          <cell r="C215">
            <v>5724</v>
          </cell>
        </row>
        <row r="216">
          <cell r="A216" t="str">
            <v>Ogens</v>
          </cell>
          <cell r="B216" t="str">
            <v>GROS-DE-VAUD</v>
          </cell>
          <cell r="C216">
            <v>5680</v>
          </cell>
        </row>
        <row r="217">
          <cell r="A217" t="str">
            <v>Ollon</v>
          </cell>
          <cell r="B217" t="str">
            <v>AIGLE</v>
          </cell>
          <cell r="C217">
            <v>5409</v>
          </cell>
        </row>
        <row r="218">
          <cell r="A218" t="str">
            <v>Onnens</v>
          </cell>
          <cell r="B218" t="str">
            <v>JURA-NORD VAUDOIS</v>
          </cell>
          <cell r="C218">
            <v>5565</v>
          </cell>
        </row>
        <row r="219">
          <cell r="A219" t="str">
            <v>Oppens</v>
          </cell>
          <cell r="B219" t="str">
            <v>GROS-DE-VAUD</v>
          </cell>
          <cell r="C219">
            <v>5923</v>
          </cell>
        </row>
        <row r="220">
          <cell r="A220" t="str">
            <v>Orbe</v>
          </cell>
          <cell r="B220" t="str">
            <v>JURA-NORD VAUDOIS</v>
          </cell>
          <cell r="C220">
            <v>5757</v>
          </cell>
        </row>
        <row r="221">
          <cell r="A221" t="str">
            <v>Orges</v>
          </cell>
          <cell r="B221" t="str">
            <v>JURA-NORD VAUDOIS</v>
          </cell>
          <cell r="C221">
            <v>5924</v>
          </cell>
        </row>
        <row r="222">
          <cell r="A222" t="str">
            <v>Ormont-Dessous</v>
          </cell>
          <cell r="B222" t="str">
            <v>AIGLE</v>
          </cell>
          <cell r="C222">
            <v>5410</v>
          </cell>
        </row>
        <row r="223">
          <cell r="A223" t="str">
            <v>Ormont-Dessus</v>
          </cell>
          <cell r="B223" t="str">
            <v>AIGLE</v>
          </cell>
          <cell r="C223">
            <v>5411</v>
          </cell>
        </row>
        <row r="224">
          <cell r="A224" t="str">
            <v>Orny</v>
          </cell>
          <cell r="B224" t="str">
            <v>MORGES</v>
          </cell>
          <cell r="C224">
            <v>5493</v>
          </cell>
        </row>
        <row r="225">
          <cell r="A225" t="str">
            <v>Oron</v>
          </cell>
          <cell r="B225" t="str">
            <v>LAVAUX-ORON</v>
          </cell>
          <cell r="C225">
            <v>5805</v>
          </cell>
        </row>
        <row r="226">
          <cell r="A226" t="str">
            <v>Orzens</v>
          </cell>
          <cell r="B226" t="str">
            <v>JURA-NORD VAUDOIS</v>
          </cell>
          <cell r="C226">
            <v>5925</v>
          </cell>
        </row>
        <row r="227">
          <cell r="A227" t="str">
            <v>Oulens-sous-Echallens</v>
          </cell>
          <cell r="B227" t="str">
            <v>GROS-DE-VAUD</v>
          </cell>
          <cell r="C227">
            <v>5529</v>
          </cell>
        </row>
        <row r="228">
          <cell r="A228" t="str">
            <v>Pailly</v>
          </cell>
          <cell r="B228" t="str">
            <v>GROS-DE-VAUD</v>
          </cell>
          <cell r="C228">
            <v>5530</v>
          </cell>
        </row>
        <row r="229">
          <cell r="A229" t="str">
            <v>Pampigny</v>
          </cell>
          <cell r="B229" t="str">
            <v>MORGES</v>
          </cell>
          <cell r="C229">
            <v>5494</v>
          </cell>
        </row>
        <row r="230">
          <cell r="A230" t="str">
            <v>Paudex</v>
          </cell>
          <cell r="B230" t="str">
            <v>LAVAUX-ORON</v>
          </cell>
          <cell r="C230">
            <v>5588</v>
          </cell>
        </row>
        <row r="231">
          <cell r="A231" t="str">
            <v>Payerne</v>
          </cell>
          <cell r="B231" t="str">
            <v>BROYE-VULLY</v>
          </cell>
          <cell r="C231">
            <v>5822</v>
          </cell>
        </row>
        <row r="232">
          <cell r="A232" t="str">
            <v>Penthalaz</v>
          </cell>
          <cell r="B232" t="str">
            <v>GROS-DE-VAUD</v>
          </cell>
          <cell r="C232">
            <v>5495</v>
          </cell>
        </row>
        <row r="233">
          <cell r="A233" t="str">
            <v>Penthaz</v>
          </cell>
          <cell r="B233" t="str">
            <v>GROS-DE-VAUD</v>
          </cell>
          <cell r="C233">
            <v>5496</v>
          </cell>
        </row>
        <row r="234">
          <cell r="A234" t="str">
            <v>Penthéréaz</v>
          </cell>
          <cell r="B234" t="str">
            <v>GROS-DE-VAUD</v>
          </cell>
          <cell r="C234">
            <v>5531</v>
          </cell>
        </row>
        <row r="235">
          <cell r="A235" t="str">
            <v>Perroy</v>
          </cell>
          <cell r="B235" t="str">
            <v>NYON</v>
          </cell>
          <cell r="C235">
            <v>5860</v>
          </cell>
        </row>
        <row r="236">
          <cell r="A236" t="str">
            <v>Poliez-Pittet</v>
          </cell>
          <cell r="B236" t="str">
            <v>GROS-DE-VAUD</v>
          </cell>
          <cell r="C236">
            <v>5533</v>
          </cell>
        </row>
        <row r="237">
          <cell r="A237" t="str">
            <v>Pompaples</v>
          </cell>
          <cell r="B237" t="str">
            <v>MORGES</v>
          </cell>
          <cell r="C237">
            <v>5497</v>
          </cell>
        </row>
        <row r="238">
          <cell r="A238" t="str">
            <v>Pomy</v>
          </cell>
          <cell r="B238" t="str">
            <v>JURA-NORD VAUDOIS</v>
          </cell>
          <cell r="C238">
            <v>5926</v>
          </cell>
        </row>
        <row r="239">
          <cell r="A239" t="str">
            <v>Prangins</v>
          </cell>
          <cell r="B239" t="str">
            <v>NYON</v>
          </cell>
          <cell r="C239">
            <v>5725</v>
          </cell>
        </row>
        <row r="240">
          <cell r="A240" t="str">
            <v>Premier</v>
          </cell>
          <cell r="B240" t="str">
            <v>JURA-NORD VAUDOIS</v>
          </cell>
          <cell r="C240">
            <v>5759</v>
          </cell>
        </row>
        <row r="241">
          <cell r="A241" t="str">
            <v>Préverenges</v>
          </cell>
          <cell r="B241" t="str">
            <v>MORGES</v>
          </cell>
          <cell r="C241">
            <v>5643</v>
          </cell>
        </row>
        <row r="242">
          <cell r="A242" t="str">
            <v>Prévonloup</v>
          </cell>
          <cell r="B242" t="str">
            <v>BROYE-VULLY</v>
          </cell>
          <cell r="C242">
            <v>5683</v>
          </cell>
        </row>
        <row r="243">
          <cell r="A243" t="str">
            <v>Prilly</v>
          </cell>
          <cell r="B243" t="str">
            <v>OUEST LAUSANNOIS</v>
          </cell>
          <cell r="C243">
            <v>5589</v>
          </cell>
        </row>
        <row r="244">
          <cell r="A244" t="str">
            <v>Provence</v>
          </cell>
          <cell r="B244" t="str">
            <v>JURA-NORD VAUDOIS</v>
          </cell>
          <cell r="C244">
            <v>5566</v>
          </cell>
        </row>
        <row r="245">
          <cell r="A245" t="str">
            <v>Puidoux</v>
          </cell>
          <cell r="B245" t="str">
            <v>LAVAUX-ORON</v>
          </cell>
          <cell r="C245">
            <v>5607</v>
          </cell>
        </row>
        <row r="246">
          <cell r="A246" t="str">
            <v>Pully</v>
          </cell>
          <cell r="B246" t="str">
            <v>LAVAUX-ORON</v>
          </cell>
          <cell r="C246">
            <v>5590</v>
          </cell>
        </row>
        <row r="247">
          <cell r="A247" t="str">
            <v>Rances</v>
          </cell>
          <cell r="B247" t="str">
            <v>JURA-NORD VAUDOIS</v>
          </cell>
          <cell r="C247">
            <v>5760</v>
          </cell>
        </row>
        <row r="248">
          <cell r="A248" t="str">
            <v>Renens</v>
          </cell>
          <cell r="B248" t="str">
            <v>OUEST LAUSANNOIS</v>
          </cell>
          <cell r="C248">
            <v>5591</v>
          </cell>
        </row>
        <row r="249">
          <cell r="A249" t="str">
            <v>Rennaz</v>
          </cell>
          <cell r="B249" t="str">
            <v>AIGLE</v>
          </cell>
          <cell r="C249">
            <v>5412</v>
          </cell>
        </row>
        <row r="250">
          <cell r="A250" t="str">
            <v>Reverolle</v>
          </cell>
          <cell r="B250" t="str">
            <v>MORGES</v>
          </cell>
          <cell r="C250">
            <v>5644</v>
          </cell>
        </row>
        <row r="251">
          <cell r="A251" t="str">
            <v>Rivaz</v>
          </cell>
          <cell r="B251" t="str">
            <v>LAVAUX-ORON</v>
          </cell>
          <cell r="C251">
            <v>5609</v>
          </cell>
        </row>
        <row r="252">
          <cell r="A252" t="str">
            <v>Roche</v>
          </cell>
          <cell r="B252" t="str">
            <v>AIGLE</v>
          </cell>
          <cell r="C252">
            <v>5413</v>
          </cell>
        </row>
        <row r="253">
          <cell r="A253" t="str">
            <v>Rolle</v>
          </cell>
          <cell r="B253" t="str">
            <v>NYON</v>
          </cell>
          <cell r="C253">
            <v>5861</v>
          </cell>
        </row>
        <row r="254">
          <cell r="A254" t="str">
            <v>Romainmôtier-Envy</v>
          </cell>
          <cell r="B254" t="str">
            <v>JURA-NORD VAUDOIS</v>
          </cell>
          <cell r="C254">
            <v>5761</v>
          </cell>
        </row>
        <row r="255">
          <cell r="A255" t="str">
            <v>Romanel-sur-Lausanne</v>
          </cell>
          <cell r="B255" t="str">
            <v>LAUSANNE</v>
          </cell>
          <cell r="C255">
            <v>5592</v>
          </cell>
        </row>
        <row r="256">
          <cell r="A256" t="str">
            <v>Romanel-sur-Morges</v>
          </cell>
          <cell r="B256" t="str">
            <v>MORGES</v>
          </cell>
          <cell r="C256">
            <v>5645</v>
          </cell>
        </row>
        <row r="257">
          <cell r="A257" t="str">
            <v>Ropraz</v>
          </cell>
          <cell r="B257" t="str">
            <v>BROYE-VULLY</v>
          </cell>
          <cell r="C257">
            <v>5798</v>
          </cell>
        </row>
        <row r="258">
          <cell r="A258" t="str">
            <v>Rossenges</v>
          </cell>
          <cell r="B258" t="str">
            <v>BROYE-VULLY</v>
          </cell>
          <cell r="C258">
            <v>5684</v>
          </cell>
        </row>
        <row r="259">
          <cell r="A259" t="str">
            <v>Rossinière</v>
          </cell>
          <cell r="B259" t="str">
            <v>RIVIERA-PAYS-D'ENHAUT</v>
          </cell>
          <cell r="C259">
            <v>5842</v>
          </cell>
        </row>
        <row r="260">
          <cell r="A260" t="str">
            <v>Rougemont</v>
          </cell>
          <cell r="B260" t="str">
            <v>RIVIERA-PAYS-D'ENHAUT</v>
          </cell>
          <cell r="C260">
            <v>5843</v>
          </cell>
        </row>
        <row r="261">
          <cell r="A261" t="str">
            <v>Rovray</v>
          </cell>
          <cell r="B261" t="str">
            <v>JURA-NORD VAUDOIS</v>
          </cell>
          <cell r="C261">
            <v>5928</v>
          </cell>
        </row>
        <row r="262">
          <cell r="A262" t="str">
            <v>Rueyres</v>
          </cell>
          <cell r="B262" t="str">
            <v>GROS-DE-VAUD</v>
          </cell>
          <cell r="C262">
            <v>5534</v>
          </cell>
        </row>
        <row r="263">
          <cell r="A263" t="str">
            <v>Saint-Barthélemy</v>
          </cell>
          <cell r="B263" t="str">
            <v>GROS-DE-VAUD</v>
          </cell>
          <cell r="C263">
            <v>5535</v>
          </cell>
        </row>
        <row r="264">
          <cell r="A264" t="str">
            <v>Saint-Cergue</v>
          </cell>
          <cell r="B264" t="str">
            <v>NYON</v>
          </cell>
          <cell r="C264">
            <v>5727</v>
          </cell>
        </row>
        <row r="265">
          <cell r="A265" t="str">
            <v>Sainte-Croix</v>
          </cell>
          <cell r="B265" t="str">
            <v>JURA-NORD VAUDOIS</v>
          </cell>
          <cell r="C265">
            <v>5568</v>
          </cell>
        </row>
        <row r="266">
          <cell r="A266" t="str">
            <v>Saint-George</v>
          </cell>
          <cell r="B266" t="str">
            <v>NYON</v>
          </cell>
          <cell r="C266">
            <v>5434</v>
          </cell>
        </row>
        <row r="267">
          <cell r="A267" t="str">
            <v>Saint-Légier-La Chiésaz</v>
          </cell>
          <cell r="B267" t="str">
            <v>RIVIERA-PAYS-D'ENHAUT</v>
          </cell>
          <cell r="C267">
            <v>5888</v>
          </cell>
        </row>
        <row r="268">
          <cell r="A268" t="str">
            <v>Saint-Livres</v>
          </cell>
          <cell r="B268" t="str">
            <v>MORGES</v>
          </cell>
          <cell r="C268">
            <v>5435</v>
          </cell>
        </row>
        <row r="269">
          <cell r="A269" t="str">
            <v>Saint-Oyens</v>
          </cell>
          <cell r="B269" t="str">
            <v>MORGES</v>
          </cell>
          <cell r="C269">
            <v>5436</v>
          </cell>
        </row>
        <row r="270">
          <cell r="A270" t="str">
            <v>Saint-Prex</v>
          </cell>
          <cell r="B270" t="str">
            <v>MORGES</v>
          </cell>
          <cell r="C270">
            <v>5646</v>
          </cell>
        </row>
        <row r="271">
          <cell r="A271" t="str">
            <v>Saint-Saphorin (Lavaux)</v>
          </cell>
          <cell r="B271" t="str">
            <v>LAVAUX-ORON</v>
          </cell>
          <cell r="C271">
            <v>5610</v>
          </cell>
        </row>
        <row r="272">
          <cell r="A272" t="str">
            <v>Saint-Sulpice</v>
          </cell>
          <cell r="B272" t="str">
            <v>OUEST LAUSANNOIS</v>
          </cell>
          <cell r="C272">
            <v>5648</v>
          </cell>
        </row>
        <row r="273">
          <cell r="A273" t="str">
            <v>Sarzens</v>
          </cell>
          <cell r="B273" t="str">
            <v>BROYE-VULLY</v>
          </cell>
          <cell r="C273">
            <v>5686</v>
          </cell>
        </row>
        <row r="274">
          <cell r="A274" t="str">
            <v>Saubraz</v>
          </cell>
          <cell r="B274" t="str">
            <v>MORGES</v>
          </cell>
          <cell r="C274">
            <v>5437</v>
          </cell>
        </row>
        <row r="275">
          <cell r="A275" t="str">
            <v>Savigny</v>
          </cell>
          <cell r="B275" t="str">
            <v>LAVAUX-ORON</v>
          </cell>
          <cell r="C275">
            <v>5611</v>
          </cell>
        </row>
        <row r="276">
          <cell r="A276" t="str">
            <v>Senarclens</v>
          </cell>
          <cell r="B276" t="str">
            <v>MORGES</v>
          </cell>
          <cell r="C276">
            <v>5499</v>
          </cell>
        </row>
        <row r="277">
          <cell r="A277" t="str">
            <v>Sergey</v>
          </cell>
          <cell r="B277" t="str">
            <v>JURA-NORD VAUDOIS</v>
          </cell>
          <cell r="C277">
            <v>5762</v>
          </cell>
        </row>
        <row r="278">
          <cell r="A278" t="str">
            <v>Servion</v>
          </cell>
          <cell r="B278" t="str">
            <v>LAVAUX-ORON</v>
          </cell>
          <cell r="C278">
            <v>5799</v>
          </cell>
        </row>
        <row r="279">
          <cell r="A279" t="str">
            <v>Sévery</v>
          </cell>
          <cell r="B279" t="str">
            <v>MORGES</v>
          </cell>
          <cell r="C279">
            <v>5500</v>
          </cell>
        </row>
        <row r="280">
          <cell r="A280" t="str">
            <v>Signy-Avenex</v>
          </cell>
          <cell r="B280" t="str">
            <v>NYON</v>
          </cell>
          <cell r="C280">
            <v>5728</v>
          </cell>
        </row>
        <row r="281">
          <cell r="A281" t="str">
            <v>Suchy</v>
          </cell>
          <cell r="B281" t="str">
            <v>JURA-NORD VAUDOIS</v>
          </cell>
          <cell r="C281">
            <v>5929</v>
          </cell>
        </row>
        <row r="282">
          <cell r="A282" t="str">
            <v>Sullens</v>
          </cell>
          <cell r="B282" t="str">
            <v>GROS-DE-VAUD</v>
          </cell>
          <cell r="C282">
            <v>5501</v>
          </cell>
        </row>
        <row r="283">
          <cell r="A283" t="str">
            <v>Suscévaz</v>
          </cell>
          <cell r="B283" t="str">
            <v>JURA-NORD VAUDOIS</v>
          </cell>
          <cell r="C283">
            <v>5930</v>
          </cell>
        </row>
        <row r="284">
          <cell r="A284" t="str">
            <v>Syens</v>
          </cell>
          <cell r="B284" t="str">
            <v>BROYE-VULLY</v>
          </cell>
          <cell r="C284">
            <v>5688</v>
          </cell>
        </row>
        <row r="285">
          <cell r="A285" t="str">
            <v>Tannay</v>
          </cell>
          <cell r="B285" t="str">
            <v>NYON</v>
          </cell>
          <cell r="C285">
            <v>5729</v>
          </cell>
        </row>
        <row r="286">
          <cell r="A286" t="str">
            <v>Tartegnin</v>
          </cell>
          <cell r="B286" t="str">
            <v>NYON</v>
          </cell>
          <cell r="C286">
            <v>5862</v>
          </cell>
        </row>
        <row r="287">
          <cell r="A287" t="str">
            <v>Tévenon</v>
          </cell>
          <cell r="B287" t="str">
            <v>JURA-NORD VAUDOIS</v>
          </cell>
          <cell r="C287">
            <v>5571</v>
          </cell>
        </row>
        <row r="288">
          <cell r="A288" t="str">
            <v>Tolochenaz</v>
          </cell>
          <cell r="B288" t="str">
            <v>MORGES</v>
          </cell>
          <cell r="C288">
            <v>5649</v>
          </cell>
        </row>
        <row r="289">
          <cell r="A289" t="str">
            <v>Trélex</v>
          </cell>
          <cell r="B289" t="str">
            <v>NYON</v>
          </cell>
          <cell r="C289">
            <v>5730</v>
          </cell>
        </row>
        <row r="290">
          <cell r="A290" t="str">
            <v>Trey</v>
          </cell>
          <cell r="B290" t="str">
            <v>BROYE-VULLY</v>
          </cell>
          <cell r="C290">
            <v>5827</v>
          </cell>
        </row>
        <row r="291">
          <cell r="A291" t="str">
            <v>Treycovagnes</v>
          </cell>
          <cell r="B291" t="str">
            <v>JURA-NORD VAUDOIS</v>
          </cell>
          <cell r="C291">
            <v>5931</v>
          </cell>
        </row>
        <row r="292">
          <cell r="A292" t="str">
            <v>Treytorrens (Payerne)</v>
          </cell>
          <cell r="B292" t="str">
            <v>BROYE-VULLY</v>
          </cell>
          <cell r="C292">
            <v>5828</v>
          </cell>
        </row>
        <row r="293">
          <cell r="A293" t="str">
            <v>Ursins</v>
          </cell>
          <cell r="B293" t="str">
            <v>JURA-NORD VAUDOIS</v>
          </cell>
          <cell r="C293">
            <v>5932</v>
          </cell>
        </row>
        <row r="294">
          <cell r="A294" t="str">
            <v>Valbroye</v>
          </cell>
          <cell r="B294" t="str">
            <v>BROYE-VULLY</v>
          </cell>
          <cell r="C294">
            <v>5831</v>
          </cell>
        </row>
        <row r="295">
          <cell r="A295" t="str">
            <v>Valeyres-sous-Montagny</v>
          </cell>
          <cell r="B295" t="str">
            <v>JURA-NORD VAUDOIS</v>
          </cell>
          <cell r="C295">
            <v>5933</v>
          </cell>
        </row>
        <row r="296">
          <cell r="A296" t="str">
            <v>Valeyres-sous-Rances</v>
          </cell>
          <cell r="B296" t="str">
            <v>JURA-NORD VAUDOIS</v>
          </cell>
          <cell r="C296">
            <v>5763</v>
          </cell>
        </row>
        <row r="297">
          <cell r="A297" t="str">
            <v>Valeyres-sous-Ursins</v>
          </cell>
          <cell r="B297" t="str">
            <v>JURA-NORD VAUDOIS</v>
          </cell>
          <cell r="C297">
            <v>5934</v>
          </cell>
        </row>
        <row r="298">
          <cell r="A298" t="str">
            <v>Vallorbe</v>
          </cell>
          <cell r="B298" t="str">
            <v>JURA-NORD VAUDOIS</v>
          </cell>
          <cell r="C298">
            <v>5764</v>
          </cell>
        </row>
        <row r="299">
          <cell r="A299" t="str">
            <v>Vaulion</v>
          </cell>
          <cell r="B299" t="str">
            <v>JURA-NORD VAUDOIS</v>
          </cell>
          <cell r="C299">
            <v>5765</v>
          </cell>
        </row>
        <row r="300">
          <cell r="A300" t="str">
            <v>Vaux-sur-Morges</v>
          </cell>
          <cell r="B300" t="str">
            <v>MORGES</v>
          </cell>
          <cell r="C300">
            <v>5650</v>
          </cell>
        </row>
        <row r="301">
          <cell r="A301" t="str">
            <v>Vevey</v>
          </cell>
          <cell r="B301" t="str">
            <v>RIVIERA-PAYS-D'ENHAUT</v>
          </cell>
          <cell r="C301">
            <v>5890</v>
          </cell>
        </row>
        <row r="302">
          <cell r="A302" t="str">
            <v>Veytaux</v>
          </cell>
          <cell r="B302" t="str">
            <v>RIVIERA-PAYS-D'ENHAUT</v>
          </cell>
          <cell r="C302">
            <v>5891</v>
          </cell>
        </row>
        <row r="303">
          <cell r="A303" t="str">
            <v>Vich</v>
          </cell>
          <cell r="B303" t="str">
            <v>NYON</v>
          </cell>
          <cell r="C303">
            <v>5732</v>
          </cell>
        </row>
        <row r="304">
          <cell r="A304" t="str">
            <v>Villars-Epeney</v>
          </cell>
          <cell r="B304" t="str">
            <v>JURA-NORD VAUDOIS</v>
          </cell>
          <cell r="C304">
            <v>5935</v>
          </cell>
        </row>
        <row r="305">
          <cell r="A305" t="str">
            <v>Villars-le-Comte</v>
          </cell>
          <cell r="B305" t="str">
            <v>BROYE-VULLY</v>
          </cell>
          <cell r="C305">
            <v>5690</v>
          </cell>
        </row>
        <row r="306">
          <cell r="A306" t="str">
            <v>Villars-le-Terroir</v>
          </cell>
          <cell r="B306" t="str">
            <v>GROS-DE-VAUD</v>
          </cell>
          <cell r="C306">
            <v>5537</v>
          </cell>
        </row>
        <row r="307">
          <cell r="A307" t="str">
            <v>Villars-Sainte-Croix</v>
          </cell>
          <cell r="B307" t="str">
            <v>OUEST LAUSANNOIS</v>
          </cell>
          <cell r="C307">
            <v>5651</v>
          </cell>
        </row>
        <row r="308">
          <cell r="A308" t="str">
            <v>Villars-sous-Yens</v>
          </cell>
          <cell r="B308" t="str">
            <v>MORGES</v>
          </cell>
          <cell r="C308">
            <v>5652</v>
          </cell>
        </row>
        <row r="309">
          <cell r="A309" t="str">
            <v>Villarzel</v>
          </cell>
          <cell r="B309" t="str">
            <v>BROYE-VULLY</v>
          </cell>
          <cell r="C309">
            <v>5830</v>
          </cell>
        </row>
        <row r="310">
          <cell r="A310" t="str">
            <v>Villeneuve</v>
          </cell>
          <cell r="B310" t="str">
            <v>AIGLE</v>
          </cell>
          <cell r="C310">
            <v>5414</v>
          </cell>
        </row>
        <row r="311">
          <cell r="A311" t="str">
            <v>Vinzel</v>
          </cell>
          <cell r="B311" t="str">
            <v>NYON</v>
          </cell>
          <cell r="C311">
            <v>5863</v>
          </cell>
        </row>
        <row r="312">
          <cell r="A312" t="str">
            <v>Vuarrens</v>
          </cell>
          <cell r="B312" t="str">
            <v>GROS-DE-VAUD</v>
          </cell>
          <cell r="C312">
            <v>5539</v>
          </cell>
        </row>
        <row r="313">
          <cell r="A313" t="str">
            <v>Vucherens</v>
          </cell>
          <cell r="B313" t="str">
            <v>BROYE-VULLY</v>
          </cell>
          <cell r="C313">
            <v>5692</v>
          </cell>
        </row>
        <row r="314">
          <cell r="A314" t="str">
            <v>Vufflens-la-Ville</v>
          </cell>
          <cell r="B314" t="str">
            <v>GROS-DE-VAUD</v>
          </cell>
          <cell r="C314">
            <v>5503</v>
          </cell>
        </row>
        <row r="315">
          <cell r="A315" t="str">
            <v>Vufflens-le-Château</v>
          </cell>
          <cell r="B315" t="str">
            <v>MORGES</v>
          </cell>
          <cell r="C315">
            <v>5653</v>
          </cell>
        </row>
        <row r="316">
          <cell r="A316" t="str">
            <v>Vugelles-La Mothe</v>
          </cell>
          <cell r="B316" t="str">
            <v>JURA-NORD VAUDOIS</v>
          </cell>
          <cell r="C316">
            <v>5937</v>
          </cell>
        </row>
        <row r="317">
          <cell r="A317" t="str">
            <v>Vuiteboeuf</v>
          </cell>
          <cell r="B317" t="str">
            <v>JURA-NORD VAUDOIS</v>
          </cell>
          <cell r="C317">
            <v>5766</v>
          </cell>
        </row>
        <row r="318">
          <cell r="A318" t="str">
            <v>Vulliens</v>
          </cell>
          <cell r="B318" t="str">
            <v>BROYE-VULLY</v>
          </cell>
          <cell r="C318">
            <v>5803</v>
          </cell>
        </row>
        <row r="319">
          <cell r="A319" t="str">
            <v>Vullierens</v>
          </cell>
          <cell r="B319" t="str">
            <v>MORGES</v>
          </cell>
          <cell r="C319">
            <v>5654</v>
          </cell>
        </row>
        <row r="320">
          <cell r="A320" t="str">
            <v>Vully-les-Lacs</v>
          </cell>
          <cell r="B320" t="str">
            <v>BROYE-VULLY</v>
          </cell>
          <cell r="C320">
            <v>5464</v>
          </cell>
        </row>
        <row r="321">
          <cell r="A321" t="str">
            <v>Yens</v>
          </cell>
          <cell r="B321" t="str">
            <v>MORGES</v>
          </cell>
          <cell r="C321">
            <v>5655</v>
          </cell>
        </row>
        <row r="322">
          <cell r="A322" t="str">
            <v>Yverdon-les-Bains</v>
          </cell>
          <cell r="B322" t="str">
            <v>JURA-NORD VAUDOIS</v>
          </cell>
          <cell r="C322">
            <v>5938</v>
          </cell>
        </row>
        <row r="323">
          <cell r="A323" t="str">
            <v>Yvonand</v>
          </cell>
          <cell r="B323" t="str">
            <v>JURA-NORD VAUDOIS</v>
          </cell>
          <cell r="C323">
            <v>5939</v>
          </cell>
        </row>
        <row r="324">
          <cell r="A324" t="str">
            <v>Yvorne</v>
          </cell>
          <cell r="B324" t="str">
            <v>AIGLE</v>
          </cell>
          <cell r="C324">
            <v>5415</v>
          </cell>
        </row>
      </sheetData>
      <sheetData sheetId="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indexed="42"/>
    <pageSetUpPr fitToPage="1"/>
  </sheetPr>
  <dimension ref="A1:X60"/>
  <sheetViews>
    <sheetView tabSelected="1" showOutlineSymbols="0" topLeftCell="A13" zoomScale="104" zoomScaleNormal="104" workbookViewId="0">
      <selection activeCell="C7" sqref="C7"/>
    </sheetView>
  </sheetViews>
  <sheetFormatPr baseColWidth="10" defaultColWidth="6" defaultRowHeight="12.75" customHeight="1" x14ac:dyDescent="0.2"/>
  <cols>
    <col min="1" max="1" width="32.08984375" style="4" customWidth="1"/>
    <col min="2" max="2" width="22.26953125" style="4" customWidth="1"/>
    <col min="3" max="3" width="15.90625" style="5" customWidth="1"/>
    <col min="4" max="4" width="14.26953125" style="6" customWidth="1"/>
    <col min="5" max="5" width="18.453125" style="6" customWidth="1"/>
    <col min="6" max="23" width="6" style="6" customWidth="1"/>
    <col min="24" max="16384" width="6" style="5"/>
  </cols>
  <sheetData>
    <row r="1" spans="1:24" ht="35.25" customHeight="1" x14ac:dyDescent="0.2">
      <c r="A1" s="88" t="str">
        <f>Données!A7</f>
        <v>Commune ?</v>
      </c>
      <c r="B1" s="89"/>
      <c r="C1" s="90">
        <f>Données!B7</f>
        <v>2023</v>
      </c>
      <c r="X1" s="6"/>
    </row>
    <row r="2" spans="1:24" ht="21" customHeight="1" x14ac:dyDescent="0.2">
      <c r="A2" s="130" t="s">
        <v>82</v>
      </c>
      <c r="B2" s="131"/>
      <c r="C2" s="132"/>
      <c r="X2" s="6"/>
    </row>
    <row r="3" spans="1:24" ht="12" customHeight="1" x14ac:dyDescent="0.2">
      <c r="A3" s="91" t="s">
        <v>64</v>
      </c>
      <c r="B3" s="5"/>
      <c r="C3" s="92" t="e">
        <f>'Fiches calcul '!F44</f>
        <v>#DIV/0!</v>
      </c>
      <c r="X3" s="6"/>
    </row>
    <row r="4" spans="1:24" s="99" customFormat="1" ht="21.75" customHeight="1" x14ac:dyDescent="0.2">
      <c r="A4" s="125" t="s">
        <v>83</v>
      </c>
      <c r="C4" s="126"/>
      <c r="D4" s="98"/>
      <c r="E4" s="98"/>
      <c r="F4" s="98"/>
      <c r="G4" s="98"/>
      <c r="H4" s="98"/>
      <c r="I4" s="98"/>
      <c r="J4" s="98"/>
      <c r="K4" s="98"/>
      <c r="L4" s="98"/>
      <c r="M4" s="98"/>
      <c r="N4" s="98"/>
      <c r="O4" s="98"/>
      <c r="P4" s="98"/>
      <c r="Q4" s="98"/>
      <c r="R4" s="98"/>
      <c r="S4" s="98"/>
      <c r="T4" s="98"/>
      <c r="U4" s="98"/>
      <c r="V4" s="98"/>
      <c r="W4" s="98"/>
      <c r="X4" s="98"/>
    </row>
    <row r="5" spans="1:24" ht="11.4" x14ac:dyDescent="0.2">
      <c r="A5" s="138"/>
      <c r="B5" s="85" t="s">
        <v>53</v>
      </c>
      <c r="C5" s="95">
        <f>-'Fiches calcul '!H44</f>
        <v>0</v>
      </c>
      <c r="X5" s="6"/>
    </row>
    <row r="6" spans="1:24" ht="11.4" x14ac:dyDescent="0.2">
      <c r="A6" s="138"/>
      <c r="B6" s="85" t="s">
        <v>52</v>
      </c>
      <c r="C6" s="95" t="e">
        <f>-'Fiches calcul '!G44</f>
        <v>#DIV/0!</v>
      </c>
      <c r="X6" s="6"/>
    </row>
    <row r="7" spans="1:24" ht="11.4" x14ac:dyDescent="0.2">
      <c r="A7" s="138"/>
      <c r="B7" s="85" t="s">
        <v>63</v>
      </c>
      <c r="C7" s="92" t="e">
        <f>'Fiches calcul '!I44</f>
        <v>#DIV/0!</v>
      </c>
      <c r="X7" s="6"/>
    </row>
    <row r="8" spans="1:24" ht="11.4" x14ac:dyDescent="0.2">
      <c r="A8" s="138"/>
      <c r="B8" s="85" t="s">
        <v>61</v>
      </c>
      <c r="C8" s="92" t="e">
        <f>-'Fiches calcul '!J44</f>
        <v>#DIV/0!</v>
      </c>
      <c r="X8" s="6"/>
    </row>
    <row r="9" spans="1:24" ht="11.4" x14ac:dyDescent="0.2">
      <c r="A9" s="138"/>
      <c r="B9" s="85" t="s">
        <v>84</v>
      </c>
      <c r="C9" s="92" t="e">
        <f>-'Fiches calcul '!L44</f>
        <v>#DIV/0!</v>
      </c>
      <c r="X9" s="6"/>
    </row>
    <row r="10" spans="1:24" ht="18.75" customHeight="1" x14ac:dyDescent="0.2">
      <c r="A10" s="124" t="s">
        <v>85</v>
      </c>
      <c r="B10" s="123"/>
      <c r="C10" s="235" t="e">
        <f>SUM(C3:C9)</f>
        <v>#DIV/0!</v>
      </c>
      <c r="X10" s="6"/>
    </row>
    <row r="11" spans="1:24" ht="11.4" x14ac:dyDescent="0.2">
      <c r="A11" s="93" t="s">
        <v>77</v>
      </c>
      <c r="B11" s="94" t="s">
        <v>71</v>
      </c>
      <c r="C11" s="92" t="e">
        <f>-'Fiches calcul '!N14</f>
        <v>#DIV/0!</v>
      </c>
      <c r="X11" s="6"/>
    </row>
    <row r="12" spans="1:24" ht="11.4" x14ac:dyDescent="0.2">
      <c r="A12" s="93"/>
      <c r="B12" s="94" t="s">
        <v>70</v>
      </c>
      <c r="C12" s="95" t="e">
        <f>-'Fiches calcul '!N15</f>
        <v>#DIV/0!</v>
      </c>
      <c r="X12" s="6"/>
    </row>
    <row r="13" spans="1:24" ht="11.4" x14ac:dyDescent="0.2">
      <c r="A13" s="93"/>
      <c r="B13" s="136" t="s">
        <v>105</v>
      </c>
      <c r="C13" s="234" t="e">
        <f>SUM(C11:C12)</f>
        <v>#DIV/0!</v>
      </c>
      <c r="X13" s="6"/>
    </row>
    <row r="14" spans="1:24" s="99" customFormat="1" ht="21" customHeight="1" x14ac:dyDescent="0.2">
      <c r="A14" s="96" t="s">
        <v>111</v>
      </c>
      <c r="B14" s="97"/>
      <c r="C14" s="236" t="e">
        <f>C10+C13</f>
        <v>#DIV/0!</v>
      </c>
      <c r="D14" s="98"/>
      <c r="E14" s="98"/>
      <c r="F14" s="98"/>
      <c r="G14" s="98"/>
      <c r="H14" s="98"/>
      <c r="I14" s="98"/>
      <c r="J14" s="98"/>
      <c r="K14" s="98"/>
      <c r="L14" s="98"/>
      <c r="M14" s="98"/>
      <c r="N14" s="98"/>
      <c r="O14" s="98"/>
      <c r="P14" s="98"/>
      <c r="Q14" s="98"/>
      <c r="R14" s="98"/>
      <c r="S14" s="98"/>
      <c r="T14" s="98"/>
      <c r="U14" s="98"/>
      <c r="V14" s="98"/>
      <c r="W14" s="98"/>
      <c r="X14" s="98"/>
    </row>
    <row r="15" spans="1:24" ht="18.75" customHeight="1" x14ac:dyDescent="0.2">
      <c r="A15" s="127" t="s">
        <v>50</v>
      </c>
      <c r="B15" s="128"/>
      <c r="C15" s="129"/>
      <c r="X15" s="6"/>
    </row>
    <row r="16" spans="1:24" ht="11.4" x14ac:dyDescent="0.2">
      <c r="A16" s="93"/>
      <c r="B16" s="94" t="s">
        <v>38</v>
      </c>
      <c r="C16" s="92" t="e">
        <f>'Fiches calcul '!D25</f>
        <v>#DIV/0!</v>
      </c>
      <c r="X16" s="6"/>
    </row>
    <row r="17" spans="1:24" ht="14.25" customHeight="1" x14ac:dyDescent="0.2">
      <c r="A17" s="93"/>
      <c r="B17" s="94" t="s">
        <v>92</v>
      </c>
      <c r="C17" s="92">
        <f>SUM('Fiches calcul '!E27:E30)</f>
        <v>0</v>
      </c>
      <c r="X17" s="6"/>
    </row>
    <row r="18" spans="1:24" ht="15" customHeight="1" x14ac:dyDescent="0.2">
      <c r="A18" s="93"/>
      <c r="B18" s="94" t="s">
        <v>97</v>
      </c>
      <c r="C18" s="95" t="e">
        <f>'Fiches calcul '!E35</f>
        <v>#DIV/0!</v>
      </c>
      <c r="X18" s="6"/>
    </row>
    <row r="19" spans="1:24" ht="11.4" x14ac:dyDescent="0.2">
      <c r="A19" s="100" t="s">
        <v>93</v>
      </c>
      <c r="B19" s="101"/>
      <c r="C19" s="233" t="e">
        <f>SUM(C16:C18)</f>
        <v>#DIV/0!</v>
      </c>
      <c r="X19" s="6"/>
    </row>
    <row r="20" spans="1:24" ht="11.4" x14ac:dyDescent="0.2">
      <c r="A20" s="93"/>
      <c r="B20" s="94"/>
      <c r="C20" s="92"/>
      <c r="X20" s="6"/>
    </row>
    <row r="21" spans="1:24" s="99" customFormat="1" ht="24.75" customHeight="1" thickBot="1" x14ac:dyDescent="0.25">
      <c r="A21" s="135" t="s">
        <v>110</v>
      </c>
      <c r="B21" s="133"/>
      <c r="C21" s="134" t="e">
        <f>C14+C19</f>
        <v>#DIV/0!</v>
      </c>
      <c r="D21" s="98"/>
      <c r="E21" s="98"/>
      <c r="F21" s="98"/>
      <c r="G21" s="98"/>
      <c r="H21" s="98"/>
      <c r="I21" s="98"/>
      <c r="J21" s="98"/>
      <c r="K21" s="98"/>
      <c r="L21" s="98"/>
      <c r="M21" s="98"/>
      <c r="N21" s="98"/>
      <c r="O21" s="98"/>
      <c r="P21" s="98"/>
      <c r="Q21" s="98"/>
      <c r="R21" s="98"/>
      <c r="S21" s="98"/>
      <c r="T21" s="98"/>
      <c r="U21" s="98"/>
      <c r="V21" s="98"/>
      <c r="W21" s="98"/>
      <c r="X21" s="98"/>
    </row>
    <row r="22" spans="1:24" ht="12" thickTop="1" x14ac:dyDescent="0.2">
      <c r="A22" s="93"/>
      <c r="B22" s="94"/>
      <c r="C22" s="102"/>
      <c r="X22" s="6"/>
    </row>
    <row r="23" spans="1:24" ht="18.75" customHeight="1" x14ac:dyDescent="0.2">
      <c r="A23" s="127" t="s">
        <v>154</v>
      </c>
      <c r="B23" s="128"/>
      <c r="C23" s="129"/>
      <c r="X23" s="6"/>
    </row>
    <row r="24" spans="1:24" ht="10.5" customHeight="1" x14ac:dyDescent="0.2">
      <c r="A24" s="220"/>
      <c r="B24" s="222"/>
      <c r="C24" s="223"/>
      <c r="X24" s="6"/>
    </row>
    <row r="25" spans="1:24" s="99" customFormat="1" ht="18.75" customHeight="1" x14ac:dyDescent="0.2">
      <c r="A25" s="218" t="s">
        <v>155</v>
      </c>
      <c r="C25" s="151" t="e">
        <f>IF(Données!B53=Données!B82,IF('Fiches calcul '!J48&lt;='Fiches calcul '!J51,'Fiches calcul '!J48,'Fiches calcul '!J51),0)</f>
        <v>#DIV/0!</v>
      </c>
      <c r="D25" s="98"/>
      <c r="E25" s="98"/>
      <c r="F25" s="98"/>
      <c r="G25" s="98"/>
      <c r="H25" s="98"/>
      <c r="I25" s="98"/>
      <c r="J25" s="98"/>
      <c r="K25" s="98"/>
      <c r="L25" s="98"/>
      <c r="M25" s="98"/>
      <c r="N25" s="98"/>
      <c r="O25" s="98"/>
      <c r="P25" s="98"/>
      <c r="Q25" s="98"/>
      <c r="R25" s="98"/>
      <c r="S25" s="98"/>
      <c r="T25" s="98"/>
      <c r="U25" s="98"/>
      <c r="V25" s="98"/>
      <c r="W25" s="98"/>
      <c r="X25" s="98"/>
    </row>
    <row r="26" spans="1:24" s="99" customFormat="1" ht="14.25" customHeight="1" x14ac:dyDescent="0.2">
      <c r="A26" s="218" t="s">
        <v>156</v>
      </c>
      <c r="B26" s="219"/>
      <c r="C26" s="151" t="e">
        <f>'Fiches calcul '!I49</f>
        <v>#DIV/0!</v>
      </c>
      <c r="D26" s="98"/>
      <c r="E26" s="98"/>
      <c r="F26" s="98"/>
      <c r="G26" s="98"/>
      <c r="H26" s="98"/>
      <c r="I26" s="98"/>
      <c r="J26" s="98"/>
      <c r="K26" s="98"/>
      <c r="L26" s="98"/>
      <c r="M26" s="98"/>
      <c r="N26" s="98"/>
      <c r="O26" s="98"/>
      <c r="P26" s="98"/>
      <c r="Q26" s="98"/>
      <c r="R26" s="98"/>
      <c r="S26" s="98"/>
      <c r="T26" s="98"/>
      <c r="U26" s="98"/>
      <c r="V26" s="98"/>
      <c r="W26" s="98"/>
      <c r="X26" s="98"/>
    </row>
    <row r="27" spans="1:24" ht="6" customHeight="1" x14ac:dyDescent="0.2">
      <c r="A27" s="93"/>
      <c r="B27" s="94"/>
      <c r="C27" s="95"/>
      <c r="X27" s="6"/>
    </row>
    <row r="28" spans="1:24" ht="11.4" x14ac:dyDescent="0.2">
      <c r="A28" s="100" t="s">
        <v>163</v>
      </c>
      <c r="B28" s="101"/>
      <c r="C28" s="233" t="e">
        <f>SUM(C25:C27)</f>
        <v>#DIV/0!</v>
      </c>
      <c r="X28" s="6"/>
    </row>
    <row r="29" spans="1:24" ht="11.4" x14ac:dyDescent="0.2">
      <c r="A29" s="93"/>
      <c r="B29" s="94"/>
      <c r="C29" s="102"/>
      <c r="X29" s="6"/>
    </row>
    <row r="30" spans="1:24" ht="19.5" customHeight="1" x14ac:dyDescent="0.2">
      <c r="A30" s="119" t="s">
        <v>94</v>
      </c>
      <c r="B30" s="137" t="s">
        <v>31</v>
      </c>
      <c r="C30" s="120" t="s">
        <v>95</v>
      </c>
      <c r="X30" s="6"/>
    </row>
    <row r="31" spans="1:24" ht="15" customHeight="1" x14ac:dyDescent="0.2">
      <c r="A31" s="93" t="s">
        <v>103</v>
      </c>
      <c r="B31" s="140" t="e">
        <f>'Fiches calcul '!C47</f>
        <v>#DIV/0!</v>
      </c>
      <c r="C31" s="139" t="e">
        <f>'Fiches calcul '!C49</f>
        <v>#DIV/0!</v>
      </c>
      <c r="X31" s="6"/>
    </row>
    <row r="32" spans="1:24" ht="15" customHeight="1" x14ac:dyDescent="0.2">
      <c r="A32" s="256" t="s">
        <v>104</v>
      </c>
      <c r="B32" s="140"/>
      <c r="C32" s="286" t="s">
        <v>177</v>
      </c>
      <c r="X32" s="6"/>
    </row>
    <row r="33" spans="1:24" ht="15" customHeight="1" x14ac:dyDescent="0.2">
      <c r="A33" s="93" t="s">
        <v>101</v>
      </c>
      <c r="B33" s="94"/>
      <c r="C33" s="139">
        <f>'Fiches calcul '!C50</f>
        <v>47.932832334190181</v>
      </c>
      <c r="X33" s="6"/>
    </row>
    <row r="34" spans="1:24" ht="15" customHeight="1" x14ac:dyDescent="0.2">
      <c r="A34" s="256" t="s">
        <v>102</v>
      </c>
      <c r="C34" s="257" t="s">
        <v>177</v>
      </c>
      <c r="X34" s="6"/>
    </row>
    <row r="35" spans="1:24" ht="12" thickBot="1" x14ac:dyDescent="0.25">
      <c r="A35" s="103"/>
      <c r="B35" s="104"/>
      <c r="C35" s="105"/>
      <c r="X35" s="6"/>
    </row>
    <row r="36" spans="1:24" ht="12.75" customHeight="1" x14ac:dyDescent="0.2">
      <c r="C36" s="106"/>
    </row>
    <row r="37" spans="1:24" ht="24.75" customHeight="1" x14ac:dyDescent="0.2">
      <c r="A37" s="184" t="s">
        <v>130</v>
      </c>
      <c r="B37" s="185"/>
      <c r="C37" s="186"/>
      <c r="D37" s="187"/>
    </row>
    <row r="38" spans="1:24" ht="23.25" customHeight="1" thickBot="1" x14ac:dyDescent="0.25">
      <c r="B38" s="178" t="s">
        <v>123</v>
      </c>
      <c r="C38" s="178" t="s">
        <v>127</v>
      </c>
      <c r="D38" s="179" t="s">
        <v>120</v>
      </c>
    </row>
    <row r="39" spans="1:24" s="99" customFormat="1" ht="17.25" customHeight="1" x14ac:dyDescent="0.2">
      <c r="A39" s="198" t="s">
        <v>109</v>
      </c>
      <c r="B39" s="199"/>
      <c r="C39" s="199"/>
      <c r="D39" s="202"/>
      <c r="E39" s="98"/>
      <c r="F39" s="98"/>
      <c r="G39" s="98"/>
      <c r="H39" s="98"/>
      <c r="I39" s="98"/>
      <c r="J39" s="98"/>
      <c r="K39" s="98"/>
      <c r="L39" s="98"/>
      <c r="M39" s="98"/>
      <c r="N39" s="98"/>
      <c r="O39" s="98"/>
      <c r="P39" s="98"/>
      <c r="Q39" s="98"/>
      <c r="R39" s="98"/>
      <c r="S39" s="98"/>
      <c r="T39" s="98"/>
      <c r="U39" s="98"/>
      <c r="V39" s="98"/>
      <c r="W39" s="98"/>
    </row>
    <row r="40" spans="1:24" ht="12.75" customHeight="1" x14ac:dyDescent="0.2">
      <c r="A40" s="190" t="str">
        <f>Données!A60</f>
        <v>Alimentation en points d'impôts</v>
      </c>
      <c r="B40" s="175">
        <f>Données!B60</f>
        <v>0</v>
      </c>
      <c r="C40" s="178" t="e">
        <f>C3</f>
        <v>#DIV/0!</v>
      </c>
      <c r="D40" s="191" t="e">
        <f t="shared" ref="D40:D45" si="0">SUM(C40-B40)</f>
        <v>#DIV/0!</v>
      </c>
    </row>
    <row r="41" spans="1:24" ht="12.75" customHeight="1" x14ac:dyDescent="0.2">
      <c r="A41" s="190" t="s">
        <v>144</v>
      </c>
      <c r="B41" s="175">
        <f>Données!B65+Données!B66</f>
        <v>0</v>
      </c>
      <c r="C41" s="178" t="e">
        <f>C7+C8+C9</f>
        <v>#DIV/0!</v>
      </c>
      <c r="D41" s="191" t="e">
        <f t="shared" si="0"/>
        <v>#DIV/0!</v>
      </c>
    </row>
    <row r="42" spans="1:24" ht="12.75" customHeight="1" x14ac:dyDescent="0.2">
      <c r="A42" s="190" t="str">
        <f>Données!A61</f>
        <v>./. Retour couche population</v>
      </c>
      <c r="B42" s="175">
        <f>Données!B61</f>
        <v>0</v>
      </c>
      <c r="C42" s="178">
        <f>C5</f>
        <v>0</v>
      </c>
      <c r="D42" s="191">
        <f t="shared" si="0"/>
        <v>0</v>
      </c>
    </row>
    <row r="43" spans="1:24" ht="12.75" customHeight="1" x14ac:dyDescent="0.2">
      <c r="A43" s="190" t="str">
        <f>Données!A62</f>
        <v>./. Couche solidarité</v>
      </c>
      <c r="B43" s="175">
        <f>Données!B62</f>
        <v>0</v>
      </c>
      <c r="C43" s="178" t="e">
        <f>C6</f>
        <v>#DIV/0!</v>
      </c>
      <c r="D43" s="191" t="e">
        <f t="shared" si="0"/>
        <v>#DIV/0!</v>
      </c>
    </row>
    <row r="44" spans="1:24" ht="12.75" customHeight="1" x14ac:dyDescent="0.2">
      <c r="A44" s="190" t="str">
        <f>Données!A63</f>
        <v>./. Dépenses thématiques forêts</v>
      </c>
      <c r="B44" s="175">
        <f>Données!B63</f>
        <v>0</v>
      </c>
      <c r="C44" s="178" t="e">
        <f>C11</f>
        <v>#DIV/0!</v>
      </c>
      <c r="D44" s="191" t="e">
        <f t="shared" si="0"/>
        <v>#DIV/0!</v>
      </c>
    </row>
    <row r="45" spans="1:24" ht="12.75" customHeight="1" x14ac:dyDescent="0.2">
      <c r="A45" s="190" t="str">
        <f>Données!A64</f>
        <v>./. Dépenses thématiques route</v>
      </c>
      <c r="B45" s="175">
        <f>Données!B64</f>
        <v>0</v>
      </c>
      <c r="C45" s="178" t="e">
        <f>C12</f>
        <v>#DIV/0!</v>
      </c>
      <c r="D45" s="191" t="e">
        <f t="shared" si="0"/>
        <v>#DIV/0!</v>
      </c>
    </row>
    <row r="46" spans="1:24" s="182" customFormat="1" ht="21.75" customHeight="1" thickBot="1" x14ac:dyDescent="0.25">
      <c r="A46" s="192" t="s">
        <v>124</v>
      </c>
      <c r="B46" s="193">
        <f>SUM(B40:B45)</f>
        <v>0</v>
      </c>
      <c r="C46" s="194" t="e">
        <f>SUM(C40:C45)</f>
        <v>#DIV/0!</v>
      </c>
      <c r="D46" s="195" t="e">
        <f>SUM(D40:D45)</f>
        <v>#DIV/0!</v>
      </c>
      <c r="E46" s="181"/>
      <c r="F46" s="181"/>
      <c r="G46" s="181"/>
      <c r="H46" s="181"/>
      <c r="I46" s="181"/>
      <c r="J46" s="181"/>
      <c r="K46" s="181"/>
      <c r="L46" s="181"/>
      <c r="M46" s="181"/>
      <c r="N46" s="181"/>
      <c r="O46" s="181"/>
      <c r="P46" s="181"/>
      <c r="Q46" s="181"/>
      <c r="R46" s="181"/>
      <c r="S46" s="181"/>
      <c r="T46" s="181"/>
      <c r="U46" s="181"/>
      <c r="V46" s="181"/>
      <c r="W46" s="181"/>
    </row>
    <row r="47" spans="1:24" ht="12.75" customHeight="1" thickBot="1" x14ac:dyDescent="0.25">
      <c r="A47" s="175"/>
      <c r="B47" s="175"/>
      <c r="C47" s="178"/>
      <c r="D47" s="178"/>
    </row>
    <row r="48" spans="1:24" s="99" customFormat="1" ht="17.25" customHeight="1" x14ac:dyDescent="0.2">
      <c r="A48" s="198" t="s">
        <v>50</v>
      </c>
      <c r="B48" s="199"/>
      <c r="C48" s="200"/>
      <c r="D48" s="201"/>
      <c r="E48" s="98"/>
      <c r="F48" s="98"/>
      <c r="G48" s="98"/>
      <c r="H48" s="98"/>
      <c r="I48" s="98"/>
      <c r="J48" s="98"/>
      <c r="K48" s="98"/>
      <c r="L48" s="98"/>
      <c r="M48" s="98"/>
      <c r="N48" s="98"/>
      <c r="O48" s="98"/>
      <c r="P48" s="98"/>
      <c r="Q48" s="98"/>
      <c r="R48" s="98"/>
      <c r="S48" s="98"/>
      <c r="T48" s="98"/>
      <c r="U48" s="98"/>
      <c r="V48" s="98"/>
      <c r="W48" s="98"/>
    </row>
    <row r="49" spans="1:23" ht="12.75" customHeight="1" x14ac:dyDescent="0.2">
      <c r="A49" s="190" t="str">
        <f>Données!A70</f>
        <v>Ecrêtage</v>
      </c>
      <c r="B49" s="175">
        <f>Données!B70</f>
        <v>0</v>
      </c>
      <c r="C49" s="178" t="e">
        <f>C16</f>
        <v>#DIV/0!</v>
      </c>
      <c r="D49" s="191" t="e">
        <f>SUM(C49-B49)</f>
        <v>#DIV/0!</v>
      </c>
    </row>
    <row r="50" spans="1:23" ht="12.75" customHeight="1" x14ac:dyDescent="0.2">
      <c r="A50" s="190" t="str">
        <f>Données!A71</f>
        <v>Impôts conjoncturels</v>
      </c>
      <c r="B50" s="175">
        <f>Données!B71</f>
        <v>0</v>
      </c>
      <c r="C50" s="178">
        <f>C17</f>
        <v>0</v>
      </c>
      <c r="D50" s="191">
        <f>SUM(C50-B50)</f>
        <v>0</v>
      </c>
    </row>
    <row r="51" spans="1:23" ht="12.75" customHeight="1" x14ac:dyDescent="0.2">
      <c r="A51" s="190" t="str">
        <f>Données!A72</f>
        <v>Alimentation en points d'impôts</v>
      </c>
      <c r="B51" s="175">
        <f>Données!B72</f>
        <v>0</v>
      </c>
      <c r="C51" s="178" t="e">
        <f>C18</f>
        <v>#DIV/0!</v>
      </c>
      <c r="D51" s="191" t="e">
        <f>SUM(C51-B51)</f>
        <v>#DIV/0!</v>
      </c>
    </row>
    <row r="52" spans="1:23" s="99" customFormat="1" ht="21.75" customHeight="1" thickBot="1" x14ac:dyDescent="0.25">
      <c r="A52" s="192" t="s">
        <v>124</v>
      </c>
      <c r="B52" s="193">
        <f>SUM(B49:B51)</f>
        <v>0</v>
      </c>
      <c r="C52" s="194" t="e">
        <f>SUM(C49:C51)</f>
        <v>#DIV/0!</v>
      </c>
      <c r="D52" s="195" t="e">
        <f>SUM(D49:D51)</f>
        <v>#DIV/0!</v>
      </c>
      <c r="E52" s="98"/>
      <c r="F52" s="98"/>
      <c r="G52" s="98"/>
      <c r="H52" s="98"/>
      <c r="I52" s="98"/>
      <c r="J52" s="98"/>
      <c r="K52" s="98"/>
      <c r="L52" s="98"/>
      <c r="M52" s="98"/>
      <c r="N52" s="98"/>
      <c r="O52" s="98"/>
      <c r="P52" s="98"/>
      <c r="Q52" s="98"/>
      <c r="R52" s="98"/>
      <c r="S52" s="98"/>
      <c r="T52" s="98"/>
      <c r="U52" s="98"/>
      <c r="V52" s="98"/>
      <c r="W52" s="98"/>
    </row>
    <row r="53" spans="1:23" s="99" customFormat="1" ht="12.75" customHeight="1" thickBot="1" x14ac:dyDescent="0.25">
      <c r="A53" s="204"/>
      <c r="B53" s="204"/>
      <c r="C53" s="294"/>
      <c r="D53" s="295"/>
      <c r="E53" s="98"/>
      <c r="F53" s="98"/>
      <c r="G53" s="98"/>
      <c r="H53" s="98"/>
      <c r="I53" s="98"/>
      <c r="J53" s="98"/>
      <c r="K53" s="98"/>
      <c r="L53" s="98"/>
      <c r="M53" s="98"/>
      <c r="N53" s="98"/>
      <c r="O53" s="98"/>
      <c r="P53" s="98"/>
      <c r="Q53" s="98"/>
      <c r="R53" s="98"/>
      <c r="S53" s="98"/>
      <c r="T53" s="98"/>
      <c r="U53" s="98"/>
      <c r="V53" s="98"/>
      <c r="W53" s="98"/>
    </row>
    <row r="54" spans="1:23" s="99" customFormat="1" ht="17.25" customHeight="1" x14ac:dyDescent="0.2">
      <c r="A54" s="198" t="s">
        <v>157</v>
      </c>
      <c r="B54" s="199"/>
      <c r="C54" s="200"/>
      <c r="D54" s="201"/>
      <c r="E54" s="98"/>
      <c r="F54" s="98"/>
      <c r="G54" s="98"/>
      <c r="H54" s="98"/>
      <c r="I54" s="98"/>
      <c r="J54" s="98"/>
      <c r="K54" s="98"/>
      <c r="L54" s="98"/>
      <c r="M54" s="98"/>
      <c r="N54" s="98"/>
      <c r="O54" s="98"/>
      <c r="P54" s="98"/>
      <c r="Q54" s="98"/>
      <c r="R54" s="98"/>
      <c r="S54" s="98"/>
      <c r="T54" s="98"/>
      <c r="U54" s="98"/>
      <c r="V54" s="98"/>
      <c r="W54" s="98"/>
    </row>
    <row r="55" spans="1:23" ht="12.75" customHeight="1" x14ac:dyDescent="0.2">
      <c r="A55" s="190" t="s">
        <v>155</v>
      </c>
      <c r="B55" s="175">
        <f>Données!B76</f>
        <v>0</v>
      </c>
      <c r="C55" s="178" t="e">
        <f>C25</f>
        <v>#DIV/0!</v>
      </c>
      <c r="D55" s="191" t="e">
        <f>SUM(C55-B55)</f>
        <v>#DIV/0!</v>
      </c>
    </row>
    <row r="56" spans="1:23" ht="12.75" customHeight="1" x14ac:dyDescent="0.2">
      <c r="A56" s="190" t="s">
        <v>156</v>
      </c>
      <c r="B56" s="175">
        <f>Données!B77</f>
        <v>0</v>
      </c>
      <c r="C56" s="178" t="e">
        <f>C26</f>
        <v>#DIV/0!</v>
      </c>
      <c r="D56" s="191" t="e">
        <f>SUM(C56-B56)</f>
        <v>#DIV/0!</v>
      </c>
    </row>
    <row r="57" spans="1:23" s="99" customFormat="1" ht="21.75" customHeight="1" thickBot="1" x14ac:dyDescent="0.25">
      <c r="A57" s="192" t="s">
        <v>167</v>
      </c>
      <c r="B57" s="193">
        <f>SUM(B55:B56)</f>
        <v>0</v>
      </c>
      <c r="C57" s="194" t="e">
        <f>SUM(C55:C56)</f>
        <v>#DIV/0!</v>
      </c>
      <c r="D57" s="195" t="e">
        <f>SUM(D55:D56)</f>
        <v>#DIV/0!</v>
      </c>
      <c r="E57" s="98"/>
      <c r="F57" s="98"/>
      <c r="G57" s="98"/>
      <c r="H57" s="98"/>
      <c r="I57" s="98"/>
      <c r="J57" s="98"/>
      <c r="K57" s="98"/>
      <c r="L57" s="98"/>
      <c r="M57" s="98"/>
      <c r="N57" s="98"/>
      <c r="O57" s="98"/>
      <c r="P57" s="98"/>
      <c r="Q57" s="98"/>
      <c r="R57" s="98"/>
      <c r="S57" s="98"/>
      <c r="T57" s="98"/>
      <c r="U57" s="98"/>
      <c r="V57" s="98"/>
      <c r="W57" s="98"/>
    </row>
    <row r="58" spans="1:23" ht="12.75" customHeight="1" thickBot="1" x14ac:dyDescent="0.25"/>
    <row r="59" spans="1:23" ht="28.5" customHeight="1" x14ac:dyDescent="0.2">
      <c r="A59" s="175"/>
      <c r="B59" s="175"/>
      <c r="C59" s="175"/>
      <c r="D59" s="229" t="s">
        <v>166</v>
      </c>
    </row>
    <row r="60" spans="1:23" s="99" customFormat="1" ht="21.75" customHeight="1" thickBot="1" x14ac:dyDescent="0.25">
      <c r="A60" s="203" t="s">
        <v>165</v>
      </c>
      <c r="B60" s="203">
        <f>B52+B46+B57</f>
        <v>0</v>
      </c>
      <c r="C60" s="203" t="e">
        <f>C52+C46+C57</f>
        <v>#DIV/0!</v>
      </c>
      <c r="D60" s="228" t="e">
        <f>D52+D46+D57</f>
        <v>#DIV/0!</v>
      </c>
      <c r="E60" s="98"/>
      <c r="F60" s="98"/>
      <c r="G60" s="98"/>
      <c r="H60" s="98"/>
      <c r="I60" s="98"/>
      <c r="J60" s="98"/>
      <c r="K60" s="98"/>
      <c r="L60" s="98"/>
      <c r="M60" s="98"/>
      <c r="N60" s="98"/>
      <c r="O60" s="98"/>
      <c r="P60" s="98"/>
      <c r="Q60" s="98"/>
      <c r="R60" s="98"/>
      <c r="S60" s="98"/>
      <c r="T60" s="98"/>
      <c r="U60" s="98"/>
      <c r="V60" s="98"/>
      <c r="W60" s="98"/>
    </row>
  </sheetData>
  <sheetProtection password="8ED5" sheet="1" objects="1" scenarios="1"/>
  <phoneticPr fontId="8" type="noConversion"/>
  <printOptions horizontalCentered="1"/>
  <pageMargins left="0.47244094488188981" right="0.11811023622047245" top="0.43307086614173229" bottom="0.31496062992125984" header="0.15748031496062992" footer="0.15748031496062992"/>
  <pageSetup paperSize="9" scale="82" orientation="portrait" r:id="rId1"/>
  <headerFooter alignWithMargins="0"/>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indexed="34"/>
    <pageSetUpPr fitToPage="1"/>
  </sheetPr>
  <dimension ref="A1:AA83"/>
  <sheetViews>
    <sheetView showOutlineSymbols="0" topLeftCell="A46" zoomScale="104" zoomScaleNormal="104" workbookViewId="0">
      <selection activeCell="B53" sqref="B53"/>
    </sheetView>
  </sheetViews>
  <sheetFormatPr baseColWidth="10" defaultColWidth="6" defaultRowHeight="12.75" customHeight="1" x14ac:dyDescent="0.2"/>
  <cols>
    <col min="1" max="1" width="35.36328125" style="4" customWidth="1"/>
    <col min="2" max="2" width="16.08984375" style="5" customWidth="1"/>
    <col min="3" max="3" width="22" style="5" customWidth="1"/>
    <col min="4" max="4" width="16.08984375" style="5" customWidth="1"/>
    <col min="5" max="5" width="25" style="107" customWidth="1"/>
    <col min="6" max="6" width="20" style="5" customWidth="1"/>
    <col min="7" max="7" width="14.26953125" style="6" customWidth="1"/>
    <col min="8" max="8" width="18.453125" style="6" customWidth="1"/>
    <col min="9" max="26" width="6" style="6" customWidth="1"/>
    <col min="27" max="16384" width="6" style="5"/>
  </cols>
  <sheetData>
    <row r="1" spans="1:27" ht="27.75" customHeight="1" x14ac:dyDescent="0.2"/>
    <row r="2" spans="1:27" ht="20.25" customHeight="1" x14ac:dyDescent="0.2">
      <c r="A2" s="154" t="s">
        <v>112</v>
      </c>
      <c r="B2" s="155"/>
      <c r="C2" s="153" t="s">
        <v>113</v>
      </c>
      <c r="E2" s="6"/>
      <c r="F2" s="6"/>
      <c r="Y2" s="5"/>
      <c r="Z2" s="5"/>
    </row>
    <row r="3" spans="1:27" ht="18" customHeight="1" x14ac:dyDescent="0.2">
      <c r="A3" s="154" t="s">
        <v>112</v>
      </c>
      <c r="B3" s="156"/>
      <c r="C3" s="153" t="s">
        <v>114</v>
      </c>
      <c r="E3" s="6"/>
      <c r="F3" s="6"/>
      <c r="Y3" s="5"/>
      <c r="Z3" s="5"/>
    </row>
    <row r="4" spans="1:27" ht="18" customHeight="1" x14ac:dyDescent="0.2">
      <c r="A4" s="154" t="s">
        <v>112</v>
      </c>
      <c r="B4" s="170"/>
      <c r="C4" s="153" t="s">
        <v>119</v>
      </c>
      <c r="E4" s="6"/>
      <c r="F4" s="6"/>
      <c r="Y4" s="5"/>
      <c r="Z4" s="5"/>
    </row>
    <row r="6" spans="1:27" ht="12.75" customHeight="1" thickBot="1" x14ac:dyDescent="0.25"/>
    <row r="7" spans="1:27" ht="30" customHeight="1" x14ac:dyDescent="0.2">
      <c r="A7" s="141" t="s">
        <v>614</v>
      </c>
      <c r="B7" s="309">
        <v>2023</v>
      </c>
      <c r="C7" s="317" t="s">
        <v>115</v>
      </c>
      <c r="D7" s="317"/>
      <c r="E7" s="108" t="s">
        <v>96</v>
      </c>
      <c r="F7" s="118" t="s">
        <v>613</v>
      </c>
      <c r="AA7" s="6"/>
    </row>
    <row r="8" spans="1:27" ht="12" customHeight="1" x14ac:dyDescent="0.2">
      <c r="A8" s="142" t="s">
        <v>36</v>
      </c>
      <c r="B8" s="116">
        <v>0</v>
      </c>
      <c r="C8" s="142"/>
      <c r="D8" s="321"/>
      <c r="E8" s="109"/>
      <c r="F8" s="111"/>
      <c r="AA8" s="6"/>
    </row>
    <row r="9" spans="1:27" ht="12" customHeight="1" x14ac:dyDescent="0.2">
      <c r="A9" s="143" t="s">
        <v>116</v>
      </c>
      <c r="B9" s="1">
        <v>0</v>
      </c>
      <c r="C9" s="143" t="s">
        <v>117</v>
      </c>
      <c r="D9" s="322"/>
      <c r="E9" s="109"/>
      <c r="F9" s="111"/>
      <c r="AA9" s="6"/>
    </row>
    <row r="10" spans="1:27" ht="12" customHeight="1" x14ac:dyDescent="0.2">
      <c r="A10" s="144" t="s">
        <v>35</v>
      </c>
      <c r="B10" s="310">
        <v>0</v>
      </c>
      <c r="C10" s="144" t="s">
        <v>118</v>
      </c>
      <c r="D10" s="322"/>
      <c r="E10" s="252" t="s">
        <v>50</v>
      </c>
      <c r="F10" s="117">
        <v>0</v>
      </c>
      <c r="AA10" s="6"/>
    </row>
    <row r="11" spans="1:27" ht="11.4" x14ac:dyDescent="0.2">
      <c r="A11" s="145"/>
      <c r="B11" s="110"/>
      <c r="C11" s="168"/>
      <c r="D11" s="169"/>
      <c r="E11" s="109" t="s">
        <v>494</v>
      </c>
      <c r="F11" s="117">
        <v>0</v>
      </c>
      <c r="AA11" s="6"/>
    </row>
    <row r="12" spans="1:27" ht="11.4" x14ac:dyDescent="0.2">
      <c r="A12" s="146" t="s">
        <v>12</v>
      </c>
      <c r="B12" s="121">
        <v>0</v>
      </c>
      <c r="C12" s="138"/>
      <c r="D12" s="171" t="e">
        <f>'Fiches calcul '!B7</f>
        <v>#DIV/0!</v>
      </c>
      <c r="E12" s="109" t="s">
        <v>495</v>
      </c>
      <c r="F12" s="117">
        <v>0</v>
      </c>
      <c r="AA12" s="6"/>
    </row>
    <row r="13" spans="1:27" ht="11.4" x14ac:dyDescent="0.2">
      <c r="A13" s="146" t="s">
        <v>13</v>
      </c>
      <c r="B13" s="3">
        <v>0</v>
      </c>
      <c r="C13" s="91"/>
      <c r="D13" s="111" t="e">
        <f>'Fiches calcul '!B8</f>
        <v>#DIV/0!</v>
      </c>
      <c r="E13" s="109"/>
      <c r="F13" s="111"/>
      <c r="AA13" s="6"/>
    </row>
    <row r="14" spans="1:27" ht="11.4" x14ac:dyDescent="0.2">
      <c r="A14" s="146" t="s">
        <v>14</v>
      </c>
      <c r="B14" s="3">
        <v>0</v>
      </c>
      <c r="C14" s="91"/>
      <c r="D14" s="111">
        <f>'Fiches calcul '!B9</f>
        <v>0</v>
      </c>
      <c r="E14" s="109" t="s">
        <v>137</v>
      </c>
      <c r="F14" s="117">
        <v>0</v>
      </c>
      <c r="AA14" s="6"/>
    </row>
    <row r="15" spans="1:27" ht="11.4" x14ac:dyDescent="0.2">
      <c r="A15" s="146" t="s">
        <v>15</v>
      </c>
      <c r="B15" s="3">
        <v>0</v>
      </c>
      <c r="C15" s="91"/>
      <c r="D15" s="111">
        <f>'Fiches calcul '!B10</f>
        <v>0</v>
      </c>
      <c r="E15" s="109"/>
      <c r="F15" s="111"/>
      <c r="AA15" s="6"/>
    </row>
    <row r="16" spans="1:27" ht="11.4" x14ac:dyDescent="0.2">
      <c r="A16" s="146" t="s">
        <v>16</v>
      </c>
      <c r="B16" s="3">
        <v>0</v>
      </c>
      <c r="C16" s="91"/>
      <c r="D16" s="111" t="e">
        <f>'Fiches calcul '!B11</f>
        <v>#DIV/0!</v>
      </c>
      <c r="E16" s="109" t="s">
        <v>138</v>
      </c>
      <c r="F16" s="117">
        <v>0</v>
      </c>
      <c r="AA16" s="6"/>
    </row>
    <row r="17" spans="1:27" ht="11.4" x14ac:dyDescent="0.2">
      <c r="A17" s="146" t="s">
        <v>17</v>
      </c>
      <c r="B17" s="3">
        <v>0</v>
      </c>
      <c r="C17" s="91"/>
      <c r="D17" s="111" t="e">
        <f>'Fiches calcul '!B12</f>
        <v>#DIV/0!</v>
      </c>
      <c r="E17" s="109" t="s">
        <v>139</v>
      </c>
      <c r="F17" s="117">
        <v>0</v>
      </c>
      <c r="AA17" s="6"/>
    </row>
    <row r="18" spans="1:27" ht="11.4" x14ac:dyDescent="0.2">
      <c r="A18" s="287" t="s">
        <v>612</v>
      </c>
      <c r="B18" s="288">
        <v>0</v>
      </c>
      <c r="C18" s="91"/>
      <c r="D18" s="111">
        <f>'Fiches calcul '!B13</f>
        <v>0</v>
      </c>
      <c r="E18" s="109" t="s">
        <v>136</v>
      </c>
      <c r="F18" s="117">
        <v>0</v>
      </c>
      <c r="AA18" s="6"/>
    </row>
    <row r="19" spans="1:27" ht="11.4" x14ac:dyDescent="0.2">
      <c r="A19" s="146" t="s">
        <v>18</v>
      </c>
      <c r="B19" s="2">
        <v>0</v>
      </c>
      <c r="C19" s="172"/>
      <c r="D19" s="111" t="e">
        <f>'Fiches calcul '!B14</f>
        <v>#DIV/0!</v>
      </c>
      <c r="E19" s="109"/>
      <c r="F19" s="111"/>
      <c r="AA19" s="6"/>
    </row>
    <row r="20" spans="1:27" ht="11.4" x14ac:dyDescent="0.2">
      <c r="A20" s="146" t="s">
        <v>19</v>
      </c>
      <c r="B20" s="2">
        <v>0</v>
      </c>
      <c r="C20" s="172"/>
      <c r="D20" s="111">
        <f>'Fiches calcul '!B15</f>
        <v>0</v>
      </c>
      <c r="E20" s="109" t="s">
        <v>64</v>
      </c>
      <c r="F20" s="320">
        <v>0</v>
      </c>
      <c r="AA20" s="6"/>
    </row>
    <row r="21" spans="1:27" ht="11.4" x14ac:dyDescent="0.2">
      <c r="A21" s="146" t="s">
        <v>20</v>
      </c>
      <c r="B21" s="2">
        <v>0</v>
      </c>
      <c r="C21" s="172"/>
      <c r="D21" s="111">
        <f>'Fiches calcul '!B16</f>
        <v>0</v>
      </c>
      <c r="E21" s="109"/>
      <c r="F21" s="111"/>
      <c r="AA21" s="6"/>
    </row>
    <row r="22" spans="1:27" ht="11.4" x14ac:dyDescent="0.2">
      <c r="A22" s="146" t="s">
        <v>21</v>
      </c>
      <c r="B22" s="3">
        <v>0</v>
      </c>
      <c r="C22" s="91"/>
      <c r="D22" s="111">
        <f>'Fiches calcul '!B17</f>
        <v>0</v>
      </c>
      <c r="E22" s="109" t="s">
        <v>157</v>
      </c>
      <c r="F22" s="320">
        <v>0</v>
      </c>
      <c r="AA22" s="6"/>
    </row>
    <row r="23" spans="1:27" ht="11.4" x14ac:dyDescent="0.2">
      <c r="A23" s="146" t="s">
        <v>22</v>
      </c>
      <c r="B23" s="3">
        <v>0</v>
      </c>
      <c r="C23" s="91"/>
      <c r="D23" s="111" t="e">
        <f>'Fiches calcul '!B18</f>
        <v>#DIV/0!</v>
      </c>
      <c r="E23" s="109"/>
      <c r="F23" s="111"/>
      <c r="AA23" s="6"/>
    </row>
    <row r="24" spans="1:27" ht="11.4" x14ac:dyDescent="0.2">
      <c r="A24" s="146" t="s">
        <v>146</v>
      </c>
      <c r="B24" s="206">
        <v>0</v>
      </c>
      <c r="C24" s="497"/>
      <c r="D24" s="494">
        <f>'Fiches calcul '!B19</f>
        <v>0</v>
      </c>
      <c r="E24" s="109" t="s">
        <v>78</v>
      </c>
      <c r="F24" s="111">
        <f>SUM(F10:F22)</f>
        <v>0</v>
      </c>
      <c r="AA24" s="6"/>
    </row>
    <row r="25" spans="1:27" ht="11.4" x14ac:dyDescent="0.2">
      <c r="A25" s="146" t="s">
        <v>147</v>
      </c>
      <c r="B25" s="2">
        <v>0</v>
      </c>
      <c r="C25" s="498"/>
      <c r="D25" s="495"/>
      <c r="E25" s="109"/>
      <c r="F25" s="111"/>
      <c r="AA25" s="6"/>
    </row>
    <row r="26" spans="1:27" ht="11.4" x14ac:dyDescent="0.2">
      <c r="A26" s="146" t="s">
        <v>148</v>
      </c>
      <c r="B26" s="207">
        <v>0</v>
      </c>
      <c r="C26" s="499"/>
      <c r="D26" s="496"/>
      <c r="E26" s="109" t="s">
        <v>107</v>
      </c>
      <c r="F26" s="117">
        <v>0</v>
      </c>
      <c r="AA26" s="6"/>
    </row>
    <row r="27" spans="1:27" ht="15" customHeight="1" x14ac:dyDescent="0.2">
      <c r="A27" s="146" t="s">
        <v>134</v>
      </c>
      <c r="B27" s="2">
        <v>0</v>
      </c>
      <c r="C27" s="172"/>
      <c r="D27" s="111">
        <f>'Fiches calcul '!B20</f>
        <v>0</v>
      </c>
      <c r="E27" s="289"/>
      <c r="F27" s="290"/>
      <c r="AA27" s="6"/>
    </row>
    <row r="28" spans="1:27" ht="10.5" customHeight="1" x14ac:dyDescent="0.2">
      <c r="A28" s="146" t="s">
        <v>149</v>
      </c>
      <c r="B28" s="2">
        <v>0</v>
      </c>
      <c r="C28" s="172"/>
      <c r="D28" s="111">
        <f>'Fiches calcul '!B21</f>
        <v>0</v>
      </c>
      <c r="E28" s="109"/>
      <c r="F28" s="111"/>
      <c r="AA28" s="6"/>
    </row>
    <row r="29" spans="1:27" ht="11.4" x14ac:dyDescent="0.2">
      <c r="A29" s="146" t="s">
        <v>135</v>
      </c>
      <c r="B29" s="2">
        <v>0</v>
      </c>
      <c r="C29" s="172"/>
      <c r="D29" s="111">
        <f>'Fiches calcul '!B22</f>
        <v>0</v>
      </c>
      <c r="E29" s="109"/>
      <c r="F29" s="111"/>
      <c r="AA29" s="6"/>
    </row>
    <row r="30" spans="1:27" ht="11.4" x14ac:dyDescent="0.2">
      <c r="A30" s="146"/>
      <c r="B30" s="112"/>
      <c r="C30" s="91"/>
      <c r="D30" s="111"/>
      <c r="E30" s="109"/>
      <c r="F30" s="111"/>
      <c r="AA30" s="6"/>
    </row>
    <row r="31" spans="1:27" ht="11.4" x14ac:dyDescent="0.2">
      <c r="A31" s="146" t="s">
        <v>24</v>
      </c>
      <c r="B31" s="2">
        <v>0</v>
      </c>
      <c r="C31" s="172"/>
      <c r="D31" s="95">
        <f>B31</f>
        <v>0</v>
      </c>
      <c r="E31" s="109"/>
      <c r="F31" s="111"/>
      <c r="AA31" s="6"/>
    </row>
    <row r="32" spans="1:27" ht="11.4" x14ac:dyDescent="0.2">
      <c r="A32" s="146" t="s">
        <v>25</v>
      </c>
      <c r="B32" s="3">
        <v>0</v>
      </c>
      <c r="C32" s="91"/>
      <c r="D32" s="111">
        <f>B32</f>
        <v>0</v>
      </c>
      <c r="E32" s="109"/>
      <c r="F32" s="111"/>
      <c r="AA32" s="6"/>
    </row>
    <row r="33" spans="1:27" ht="11.4" x14ac:dyDescent="0.2">
      <c r="A33" s="146" t="s">
        <v>27</v>
      </c>
      <c r="B33" s="2">
        <v>0</v>
      </c>
      <c r="C33" s="172"/>
      <c r="D33" s="95">
        <f>B33</f>
        <v>0</v>
      </c>
      <c r="E33" s="109"/>
      <c r="F33" s="111"/>
      <c r="AA33" s="6"/>
    </row>
    <row r="34" spans="1:27" ht="12" thickBot="1" x14ac:dyDescent="0.25">
      <c r="A34" s="146" t="s">
        <v>26</v>
      </c>
      <c r="B34" s="2">
        <v>0</v>
      </c>
      <c r="C34" s="173"/>
      <c r="D34" s="174">
        <f>B34</f>
        <v>0</v>
      </c>
      <c r="E34" s="109"/>
      <c r="F34" s="111"/>
      <c r="AA34" s="6"/>
    </row>
    <row r="35" spans="1:27" ht="11.4" x14ac:dyDescent="0.2">
      <c r="A35" s="146"/>
      <c r="B35" s="112"/>
      <c r="E35" s="109"/>
      <c r="F35" s="111"/>
      <c r="AA35" s="6"/>
    </row>
    <row r="36" spans="1:27" ht="11.4" x14ac:dyDescent="0.2">
      <c r="A36" s="145" t="s">
        <v>51</v>
      </c>
      <c r="B36" s="483">
        <v>12.696760564677154</v>
      </c>
      <c r="C36" s="245" t="s">
        <v>172</v>
      </c>
      <c r="D36" s="251" t="e">
        <f>SUM(D12:D34)-SUM(B12:B34)</f>
        <v>#DIV/0!</v>
      </c>
      <c r="E36" s="109"/>
      <c r="F36" s="111"/>
      <c r="AA36" s="6"/>
    </row>
    <row r="37" spans="1:27" ht="11.4" x14ac:dyDescent="0.2">
      <c r="A37" s="145" t="s">
        <v>60</v>
      </c>
      <c r="B37" s="484">
        <v>19.27808627509641</v>
      </c>
      <c r="C37" s="243" t="s">
        <v>173</v>
      </c>
      <c r="D37" s="244" t="e">
        <f>'Résultat Péréquation'!C60</f>
        <v>#DIV/0!</v>
      </c>
      <c r="E37" s="109"/>
      <c r="F37" s="111"/>
      <c r="AA37" s="6"/>
    </row>
    <row r="38" spans="1:27" s="99" customFormat="1" ht="15" customHeight="1" x14ac:dyDescent="0.2">
      <c r="A38" s="252"/>
      <c r="B38" s="253"/>
      <c r="C38" s="254" t="s">
        <v>174</v>
      </c>
      <c r="D38" s="255">
        <v>0</v>
      </c>
      <c r="E38" s="109"/>
      <c r="F38" s="151"/>
      <c r="G38" s="98"/>
      <c r="H38" s="308"/>
      <c r="I38" s="98"/>
      <c r="J38" s="98"/>
      <c r="K38" s="98"/>
      <c r="L38" s="98"/>
      <c r="M38" s="98"/>
      <c r="N38" s="98"/>
      <c r="O38" s="98"/>
      <c r="P38" s="98"/>
      <c r="Q38" s="98"/>
      <c r="R38" s="98"/>
      <c r="S38" s="98"/>
      <c r="T38" s="98"/>
      <c r="U38" s="98"/>
      <c r="V38" s="98"/>
      <c r="W38" s="98"/>
      <c r="X38" s="98"/>
      <c r="Y38" s="98"/>
      <c r="Z38" s="98"/>
      <c r="AA38" s="98"/>
    </row>
    <row r="39" spans="1:27" s="99" customFormat="1" ht="26.25" customHeight="1" x14ac:dyDescent="0.2">
      <c r="A39" s="152" t="s">
        <v>62</v>
      </c>
      <c r="B39" s="150"/>
      <c r="C39" s="246" t="s">
        <v>175</v>
      </c>
      <c r="D39" s="250" t="e">
        <f>-(D37-D38)</f>
        <v>#DIV/0!</v>
      </c>
      <c r="E39" s="109"/>
      <c r="F39" s="151"/>
      <c r="G39" s="98"/>
      <c r="H39" s="308"/>
      <c r="I39" s="98"/>
      <c r="J39" s="98"/>
      <c r="K39" s="98"/>
      <c r="L39" s="98"/>
      <c r="M39" s="98"/>
      <c r="N39" s="98"/>
      <c r="O39" s="98"/>
      <c r="P39" s="98"/>
      <c r="Q39" s="98"/>
      <c r="R39" s="98"/>
      <c r="S39" s="98"/>
      <c r="T39" s="98"/>
      <c r="U39" s="98"/>
      <c r="V39" s="98"/>
      <c r="W39" s="98"/>
      <c r="X39" s="98"/>
      <c r="Y39" s="98"/>
      <c r="Z39" s="98"/>
      <c r="AA39" s="98"/>
    </row>
    <row r="40" spans="1:27" ht="12" thickBot="1" x14ac:dyDescent="0.25">
      <c r="A40" s="145" t="s">
        <v>52</v>
      </c>
      <c r="B40" s="113">
        <v>0.27</v>
      </c>
      <c r="C40" s="247"/>
      <c r="D40" s="247"/>
      <c r="E40" s="109"/>
      <c r="F40" s="111"/>
      <c r="AA40" s="6"/>
    </row>
    <row r="41" spans="1:27" ht="12" thickBot="1" x14ac:dyDescent="0.25">
      <c r="A41" s="145" t="s">
        <v>100</v>
      </c>
      <c r="B41" s="485">
        <v>47.932832334190181</v>
      </c>
      <c r="C41" s="248" t="s">
        <v>176</v>
      </c>
      <c r="D41" s="249" t="e">
        <f>D36+D39</f>
        <v>#DIV/0!</v>
      </c>
      <c r="E41" s="242"/>
      <c r="F41" s="111"/>
      <c r="AA41" s="6"/>
    </row>
    <row r="42" spans="1:27" ht="11.4" x14ac:dyDescent="0.2">
      <c r="A42" s="258" t="s">
        <v>99</v>
      </c>
      <c r="B42" s="318" t="s">
        <v>177</v>
      </c>
      <c r="C42" s="208"/>
      <c r="D42" s="208"/>
      <c r="E42" s="109"/>
      <c r="F42" s="111"/>
      <c r="AA42" s="6"/>
    </row>
    <row r="43" spans="1:27" ht="11.4" x14ac:dyDescent="0.2">
      <c r="A43" s="145" t="s">
        <v>98</v>
      </c>
      <c r="B43" s="487">
        <v>67.586100811375815</v>
      </c>
      <c r="C43" s="87"/>
      <c r="D43" s="87"/>
      <c r="E43" s="109"/>
      <c r="F43" s="111"/>
      <c r="AA43" s="6"/>
    </row>
    <row r="44" spans="1:27" ht="11.4" x14ac:dyDescent="0.2">
      <c r="A44" s="145" t="s">
        <v>76</v>
      </c>
      <c r="B44" s="487">
        <v>92.188000000000002</v>
      </c>
      <c r="C44" s="87"/>
      <c r="D44" s="87"/>
      <c r="E44" s="109"/>
      <c r="F44" s="111"/>
      <c r="AA44" s="6"/>
    </row>
    <row r="45" spans="1:27" ht="11.4" x14ac:dyDescent="0.2">
      <c r="A45" s="145" t="s">
        <v>125</v>
      </c>
      <c r="B45" s="487">
        <v>48</v>
      </c>
      <c r="C45" s="87"/>
      <c r="D45" s="87"/>
      <c r="E45" s="109"/>
      <c r="F45" s="111"/>
      <c r="AA45" s="6"/>
    </row>
    <row r="46" spans="1:27" ht="11.4" x14ac:dyDescent="0.2">
      <c r="A46" s="145"/>
      <c r="B46" s="157"/>
      <c r="C46" s="166"/>
      <c r="D46" s="166"/>
      <c r="E46" s="109"/>
      <c r="F46" s="111"/>
      <c r="AA46" s="6"/>
    </row>
    <row r="47" spans="1:27" ht="15" customHeight="1" x14ac:dyDescent="0.2">
      <c r="A47" s="145" t="s">
        <v>88</v>
      </c>
      <c r="B47" s="486">
        <v>0.75</v>
      </c>
      <c r="C47" s="209"/>
      <c r="D47" s="209"/>
      <c r="E47" s="109"/>
      <c r="F47" s="111"/>
      <c r="AA47" s="6"/>
    </row>
    <row r="48" spans="1:27" ht="7.5" customHeight="1" x14ac:dyDescent="0.2">
      <c r="A48" s="145"/>
      <c r="B48" s="319"/>
      <c r="C48" s="209"/>
      <c r="D48" s="209"/>
      <c r="E48" s="109"/>
      <c r="F48" s="111"/>
      <c r="AA48" s="6"/>
    </row>
    <row r="49" spans="1:27" ht="15" customHeight="1" x14ac:dyDescent="0.2">
      <c r="A49" s="127" t="s">
        <v>154</v>
      </c>
      <c r="B49" s="127"/>
      <c r="C49" s="209"/>
      <c r="D49" s="209"/>
      <c r="E49" s="109"/>
      <c r="F49" s="111"/>
      <c r="AA49" s="6"/>
    </row>
    <row r="50" spans="1:27" ht="12" customHeight="1" x14ac:dyDescent="0.2">
      <c r="A50" s="220"/>
      <c r="B50" s="221"/>
      <c r="C50" s="209"/>
      <c r="D50" s="209"/>
      <c r="E50" s="109"/>
      <c r="F50" s="111"/>
      <c r="AA50" s="6"/>
    </row>
    <row r="51" spans="1:27" ht="15" customHeight="1" x14ac:dyDescent="0.2">
      <c r="A51" s="145" t="s">
        <v>158</v>
      </c>
      <c r="B51" s="485">
        <v>1.2255658170853616</v>
      </c>
      <c r="C51" s="209"/>
      <c r="D51" s="209"/>
      <c r="E51" s="109"/>
      <c r="F51" s="111"/>
      <c r="AA51" s="6"/>
    </row>
    <row r="52" spans="1:27" ht="15" customHeight="1" x14ac:dyDescent="0.2">
      <c r="A52" s="147" t="s">
        <v>171</v>
      </c>
      <c r="B52" s="485">
        <v>88.462562448177948</v>
      </c>
      <c r="C52" s="209"/>
      <c r="D52" s="209"/>
      <c r="E52" s="109"/>
      <c r="F52" s="111"/>
      <c r="AA52" s="6"/>
    </row>
    <row r="53" spans="1:27" ht="15" x14ac:dyDescent="0.2">
      <c r="A53" s="145" t="s">
        <v>168</v>
      </c>
      <c r="B53" s="217" t="s">
        <v>159</v>
      </c>
      <c r="C53" s="166"/>
      <c r="D53" s="166"/>
      <c r="E53" s="109"/>
      <c r="F53" s="111"/>
      <c r="AA53" s="6"/>
    </row>
    <row r="54" spans="1:27" ht="12" thickBot="1" x14ac:dyDescent="0.25">
      <c r="A54" s="148"/>
      <c r="B54" s="149"/>
      <c r="C54" s="167"/>
      <c r="D54" s="167"/>
      <c r="E54" s="114"/>
      <c r="F54" s="115"/>
      <c r="AA54" s="6"/>
    </row>
    <row r="57" spans="1:27" ht="19.5" customHeight="1" x14ac:dyDescent="0.2">
      <c r="A57" s="189" t="s">
        <v>126</v>
      </c>
      <c r="B57" s="188">
        <f>B7</f>
        <v>2023</v>
      </c>
      <c r="C57" s="6"/>
      <c r="D57" s="6"/>
      <c r="E57" s="6"/>
      <c r="F57" s="6"/>
      <c r="V57" s="5"/>
      <c r="W57" s="5"/>
      <c r="X57" s="5"/>
      <c r="Y57" s="5"/>
      <c r="Z57" s="5"/>
    </row>
    <row r="58" spans="1:27" ht="23.25" customHeight="1" thickBot="1" x14ac:dyDescent="0.25">
      <c r="B58" s="178"/>
      <c r="C58" s="6"/>
      <c r="D58" s="6"/>
      <c r="E58" s="6"/>
      <c r="F58" s="6"/>
      <c r="V58" s="5"/>
      <c r="W58" s="5"/>
      <c r="X58" s="5"/>
      <c r="Y58" s="5"/>
      <c r="Z58" s="5"/>
    </row>
    <row r="59" spans="1:27" s="99" customFormat="1" ht="18" customHeight="1" thickTop="1" x14ac:dyDescent="0.2">
      <c r="A59" s="224" t="s">
        <v>109</v>
      </c>
      <c r="B59" s="225"/>
      <c r="C59" s="98"/>
      <c r="D59" s="98"/>
      <c r="E59" s="98"/>
      <c r="F59" s="98"/>
      <c r="G59" s="98"/>
      <c r="H59" s="98"/>
      <c r="I59" s="98"/>
      <c r="J59" s="98"/>
      <c r="K59" s="98"/>
      <c r="L59" s="98"/>
      <c r="M59" s="98"/>
      <c r="N59" s="98"/>
      <c r="O59" s="98"/>
      <c r="P59" s="98"/>
      <c r="Q59" s="98"/>
      <c r="R59" s="98"/>
      <c r="S59" s="98"/>
      <c r="T59" s="98"/>
      <c r="U59" s="98"/>
    </row>
    <row r="60" spans="1:27" ht="12.75" customHeight="1" x14ac:dyDescent="0.2">
      <c r="A60" s="176" t="s">
        <v>121</v>
      </c>
      <c r="B60" s="196">
        <v>0</v>
      </c>
      <c r="C60" s="6"/>
      <c r="D60" s="6"/>
      <c r="E60" s="6"/>
      <c r="F60" s="6"/>
      <c r="V60" s="5"/>
      <c r="W60" s="5"/>
      <c r="X60" s="5"/>
      <c r="Y60" s="5"/>
      <c r="Z60" s="5"/>
    </row>
    <row r="61" spans="1:27" ht="12.75" customHeight="1" x14ac:dyDescent="0.2">
      <c r="A61" s="176" t="s">
        <v>131</v>
      </c>
      <c r="B61" s="196">
        <v>0</v>
      </c>
      <c r="C61" s="6"/>
      <c r="D61" s="6"/>
      <c r="E61" s="6"/>
      <c r="F61" s="6"/>
      <c r="V61" s="5"/>
      <c r="W61" s="5"/>
      <c r="X61" s="5"/>
      <c r="Y61" s="5"/>
      <c r="Z61" s="5"/>
    </row>
    <row r="62" spans="1:27" ht="12.75" customHeight="1" x14ac:dyDescent="0.2">
      <c r="A62" s="176" t="s">
        <v>66</v>
      </c>
      <c r="B62" s="196">
        <v>0</v>
      </c>
      <c r="C62" s="6"/>
      <c r="D62" s="6"/>
      <c r="E62" s="6"/>
      <c r="F62" s="6"/>
      <c r="V62" s="5"/>
      <c r="W62" s="5"/>
      <c r="X62" s="5"/>
      <c r="Y62" s="5"/>
      <c r="Z62" s="5"/>
    </row>
    <row r="63" spans="1:27" ht="12.75" customHeight="1" x14ac:dyDescent="0.2">
      <c r="A63" s="176" t="s">
        <v>132</v>
      </c>
      <c r="B63" s="196">
        <v>0</v>
      </c>
      <c r="C63" s="6"/>
      <c r="D63" s="6"/>
      <c r="E63" s="6"/>
      <c r="F63" s="6"/>
      <c r="V63" s="5"/>
      <c r="W63" s="5"/>
      <c r="X63" s="5"/>
      <c r="Y63" s="5"/>
      <c r="Z63" s="5"/>
    </row>
    <row r="64" spans="1:27" ht="12.75" customHeight="1" x14ac:dyDescent="0.2">
      <c r="A64" s="176" t="s">
        <v>133</v>
      </c>
      <c r="B64" s="196">
        <v>0</v>
      </c>
      <c r="C64" s="6"/>
      <c r="D64" s="6"/>
      <c r="E64" s="6"/>
      <c r="F64" s="6"/>
      <c r="V64" s="5"/>
      <c r="W64" s="5"/>
      <c r="X64" s="5"/>
      <c r="Y64" s="5"/>
      <c r="Z64" s="5"/>
    </row>
    <row r="65" spans="1:26" ht="12.75" customHeight="1" x14ac:dyDescent="0.2">
      <c r="A65" s="176" t="s">
        <v>140</v>
      </c>
      <c r="B65" s="196">
        <v>0</v>
      </c>
      <c r="C65" s="6"/>
      <c r="D65" s="6"/>
      <c r="E65" s="6"/>
      <c r="F65" s="6"/>
      <c r="V65" s="5"/>
      <c r="W65" s="5"/>
      <c r="X65" s="5"/>
      <c r="Y65" s="5"/>
      <c r="Z65" s="5"/>
    </row>
    <row r="66" spans="1:26" ht="12.75" customHeight="1" x14ac:dyDescent="0.2">
      <c r="A66" s="176" t="s">
        <v>136</v>
      </c>
      <c r="B66" s="196">
        <v>0</v>
      </c>
      <c r="C66" s="6"/>
      <c r="D66" s="6"/>
      <c r="E66" s="6"/>
      <c r="F66" s="6"/>
      <c r="V66" s="5"/>
      <c r="W66" s="5"/>
      <c r="X66" s="5"/>
      <c r="Y66" s="5"/>
      <c r="Z66" s="5"/>
    </row>
    <row r="67" spans="1:26" s="182" customFormat="1" ht="21.75" customHeight="1" thickBot="1" x14ac:dyDescent="0.25">
      <c r="A67" s="180" t="s">
        <v>128</v>
      </c>
      <c r="B67" s="183">
        <f>SUM(B60:B66)</f>
        <v>0</v>
      </c>
      <c r="C67" s="181"/>
      <c r="D67" s="181"/>
      <c r="E67" s="181"/>
      <c r="F67" s="181"/>
      <c r="G67" s="181"/>
      <c r="H67" s="181"/>
      <c r="I67" s="181"/>
      <c r="J67" s="181"/>
      <c r="K67" s="181"/>
      <c r="L67" s="181"/>
      <c r="M67" s="181"/>
      <c r="N67" s="181"/>
      <c r="O67" s="181"/>
      <c r="P67" s="181"/>
      <c r="Q67" s="181"/>
      <c r="R67" s="181"/>
      <c r="S67" s="181"/>
      <c r="T67" s="181"/>
      <c r="U67" s="181"/>
    </row>
    <row r="68" spans="1:26" ht="12.75" customHeight="1" thickTop="1" thickBot="1" x14ac:dyDescent="0.25">
      <c r="A68" s="175"/>
      <c r="B68" s="175"/>
      <c r="C68" s="6"/>
      <c r="D68" s="6"/>
      <c r="E68" s="6"/>
      <c r="F68" s="6"/>
      <c r="V68" s="5"/>
      <c r="W68" s="5"/>
      <c r="X68" s="5"/>
      <c r="Y68" s="5"/>
      <c r="Z68" s="5"/>
    </row>
    <row r="69" spans="1:26" s="99" customFormat="1" ht="18" customHeight="1" thickTop="1" x14ac:dyDescent="0.2">
      <c r="A69" s="226" t="s">
        <v>50</v>
      </c>
      <c r="B69" s="227"/>
      <c r="C69" s="98"/>
      <c r="D69" s="98"/>
      <c r="E69" s="98"/>
      <c r="F69" s="98"/>
      <c r="G69" s="98"/>
      <c r="H69" s="98"/>
      <c r="I69" s="98"/>
      <c r="J69" s="98"/>
      <c r="K69" s="98"/>
      <c r="L69" s="98"/>
      <c r="M69" s="98"/>
      <c r="N69" s="98"/>
      <c r="O69" s="98"/>
      <c r="P69" s="98"/>
      <c r="Q69" s="98"/>
      <c r="R69" s="98"/>
      <c r="S69" s="98"/>
      <c r="T69" s="98"/>
      <c r="U69" s="98"/>
    </row>
    <row r="70" spans="1:26" ht="12.75" customHeight="1" x14ac:dyDescent="0.2">
      <c r="A70" s="176" t="s">
        <v>122</v>
      </c>
      <c r="B70" s="196">
        <v>0</v>
      </c>
      <c r="C70" s="6"/>
      <c r="D70" s="6"/>
      <c r="E70" s="6"/>
      <c r="F70" s="6"/>
      <c r="V70" s="5"/>
      <c r="W70" s="5"/>
      <c r="X70" s="5"/>
      <c r="Y70" s="5"/>
      <c r="Z70" s="5"/>
    </row>
    <row r="71" spans="1:26" ht="12.75" customHeight="1" x14ac:dyDescent="0.2">
      <c r="A71" s="176" t="s">
        <v>92</v>
      </c>
      <c r="B71" s="197">
        <v>0</v>
      </c>
      <c r="C71" s="6"/>
      <c r="D71" s="6"/>
      <c r="E71" s="6"/>
      <c r="F71" s="6"/>
      <c r="V71" s="5"/>
      <c r="W71" s="5"/>
      <c r="X71" s="5"/>
      <c r="Y71" s="5"/>
      <c r="Z71" s="5"/>
    </row>
    <row r="72" spans="1:26" ht="12.75" customHeight="1" x14ac:dyDescent="0.2">
      <c r="A72" s="176" t="s">
        <v>121</v>
      </c>
      <c r="B72" s="197">
        <v>0</v>
      </c>
      <c r="C72" s="6"/>
      <c r="D72" s="6"/>
      <c r="E72" s="6"/>
      <c r="F72" s="6"/>
      <c r="V72" s="5"/>
      <c r="W72" s="5"/>
      <c r="X72" s="5"/>
      <c r="Y72" s="5"/>
      <c r="Z72" s="5"/>
    </row>
    <row r="73" spans="1:26" s="99" customFormat="1" ht="21.75" customHeight="1" thickBot="1" x14ac:dyDescent="0.25">
      <c r="A73" s="180" t="s">
        <v>129</v>
      </c>
      <c r="B73" s="183">
        <f>SUM(B70:B72)</f>
        <v>0</v>
      </c>
      <c r="C73" s="98"/>
      <c r="D73" s="98"/>
      <c r="E73" s="98"/>
      <c r="F73" s="98"/>
      <c r="G73" s="98"/>
      <c r="H73" s="98"/>
      <c r="I73" s="98"/>
      <c r="J73" s="98"/>
      <c r="K73" s="98"/>
      <c r="L73" s="98"/>
      <c r="M73" s="98"/>
      <c r="N73" s="98"/>
      <c r="O73" s="98"/>
      <c r="P73" s="98"/>
      <c r="Q73" s="98"/>
      <c r="R73" s="98"/>
      <c r="S73" s="98"/>
      <c r="T73" s="98"/>
      <c r="U73" s="98"/>
    </row>
    <row r="74" spans="1:26" ht="12.75" customHeight="1" thickTop="1" thickBot="1" x14ac:dyDescent="0.25">
      <c r="A74" s="175"/>
      <c r="B74" s="175"/>
      <c r="C74" s="175"/>
      <c r="D74" s="177"/>
      <c r="E74" s="6"/>
      <c r="F74" s="6"/>
      <c r="X74" s="5"/>
      <c r="Y74" s="5"/>
      <c r="Z74" s="5"/>
    </row>
    <row r="75" spans="1:26" s="99" customFormat="1" ht="18" customHeight="1" thickTop="1" x14ac:dyDescent="0.2">
      <c r="A75" s="226" t="s">
        <v>157</v>
      </c>
      <c r="B75" s="227"/>
      <c r="C75" s="98"/>
      <c r="D75" s="98"/>
      <c r="E75" s="98"/>
      <c r="F75" s="98"/>
      <c r="G75" s="98"/>
      <c r="H75" s="98"/>
      <c r="I75" s="98"/>
      <c r="J75" s="98"/>
      <c r="K75" s="98"/>
      <c r="L75" s="98"/>
      <c r="M75" s="98"/>
      <c r="N75" s="98"/>
      <c r="O75" s="98"/>
      <c r="P75" s="98"/>
      <c r="Q75" s="98"/>
      <c r="R75" s="98"/>
      <c r="S75" s="98"/>
      <c r="T75" s="98"/>
      <c r="U75" s="98"/>
    </row>
    <row r="76" spans="1:26" ht="12.75" customHeight="1" x14ac:dyDescent="0.2">
      <c r="A76" s="176" t="s">
        <v>155</v>
      </c>
      <c r="B76" s="196">
        <v>0</v>
      </c>
      <c r="C76" s="6"/>
      <c r="D76" s="6"/>
      <c r="E76" s="6"/>
      <c r="F76" s="6"/>
      <c r="V76" s="5"/>
      <c r="W76" s="5"/>
      <c r="X76" s="5"/>
      <c r="Y76" s="5"/>
      <c r="Z76" s="5"/>
    </row>
    <row r="77" spans="1:26" ht="12.75" customHeight="1" x14ac:dyDescent="0.2">
      <c r="A77" s="176" t="s">
        <v>156</v>
      </c>
      <c r="B77" s="197">
        <v>0</v>
      </c>
      <c r="C77" s="6"/>
      <c r="D77" s="6"/>
      <c r="E77" s="6"/>
      <c r="F77" s="6"/>
      <c r="V77" s="5"/>
      <c r="W77" s="5"/>
      <c r="X77" s="5"/>
      <c r="Y77" s="5"/>
      <c r="Z77" s="5"/>
    </row>
    <row r="78" spans="1:26" s="99" customFormat="1" ht="21.75" customHeight="1" thickBot="1" x14ac:dyDescent="0.25">
      <c r="A78" s="180" t="s">
        <v>129</v>
      </c>
      <c r="B78" s="183">
        <f>SUM(B76:B77)</f>
        <v>0</v>
      </c>
      <c r="C78" s="98"/>
      <c r="D78" s="98"/>
      <c r="E78" s="98"/>
      <c r="F78" s="98"/>
      <c r="G78" s="98"/>
      <c r="H78" s="98"/>
      <c r="I78" s="98"/>
      <c r="J78" s="98"/>
      <c r="K78" s="98"/>
      <c r="L78" s="98"/>
      <c r="M78" s="98"/>
      <c r="N78" s="98"/>
      <c r="O78" s="98"/>
      <c r="P78" s="98"/>
      <c r="Q78" s="98"/>
      <c r="R78" s="98"/>
      <c r="S78" s="98"/>
      <c r="T78" s="98"/>
      <c r="U78" s="98"/>
    </row>
    <row r="79" spans="1:26" s="99" customFormat="1" ht="21.75" customHeight="1" thickTop="1" x14ac:dyDescent="0.2">
      <c r="A79" s="204"/>
      <c r="B79" s="204"/>
      <c r="C79" s="98"/>
      <c r="D79" s="98"/>
      <c r="E79" s="98"/>
      <c r="F79" s="98"/>
      <c r="G79" s="98"/>
      <c r="H79" s="98"/>
      <c r="I79" s="98"/>
      <c r="J79" s="98"/>
      <c r="K79" s="98"/>
      <c r="L79" s="98"/>
      <c r="M79" s="98"/>
      <c r="N79" s="98"/>
      <c r="O79" s="98"/>
      <c r="P79" s="98"/>
      <c r="Q79" s="98"/>
      <c r="R79" s="98"/>
      <c r="S79" s="98"/>
      <c r="T79" s="98"/>
      <c r="U79" s="98"/>
    </row>
    <row r="81" spans="2:2" ht="12.75" customHeight="1" x14ac:dyDescent="0.2">
      <c r="B81" s="39"/>
    </row>
    <row r="82" spans="2:2" ht="12.75" customHeight="1" x14ac:dyDescent="0.2">
      <c r="B82" s="39" t="s">
        <v>159</v>
      </c>
    </row>
    <row r="83" spans="2:2" ht="12.75" customHeight="1" x14ac:dyDescent="0.2">
      <c r="B83" s="39" t="s">
        <v>160</v>
      </c>
    </row>
  </sheetData>
  <sheetProtection password="8ED5" sheet="1" selectLockedCells="1"/>
  <sortState ref="A48:B48">
    <sortCondition sortBy="cellColor" ref="B48" dxfId="0"/>
  </sortState>
  <mergeCells count="2">
    <mergeCell ref="D24:D26"/>
    <mergeCell ref="C24:C26"/>
  </mergeCells>
  <phoneticPr fontId="8" type="noConversion"/>
  <dataValidations count="1">
    <dataValidation type="list" allowBlank="1" showInputMessage="1" showErrorMessage="1" sqref="B53">
      <formula1>$B$82:$B$83</formula1>
    </dataValidation>
  </dataValidations>
  <pageMargins left="0.47244094488188981" right="0.11811023622047245" top="0.82677165354330717" bottom="0.31496062992125984" header="0.55118110236220474" footer="0.15748031496062992"/>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showWhiteSpace="0" view="pageBreakPreview" topLeftCell="A7" zoomScale="80" zoomScaleNormal="80" zoomScaleSheetLayoutView="80" workbookViewId="0">
      <selection activeCell="B11" sqref="B11"/>
    </sheetView>
  </sheetViews>
  <sheetFormatPr baseColWidth="10" defaultColWidth="10.08984375" defaultRowHeight="14.4" x14ac:dyDescent="0.3"/>
  <cols>
    <col min="1" max="1" width="56.90625" style="324" customWidth="1"/>
    <col min="2" max="2" width="20" style="324" customWidth="1"/>
    <col min="3" max="3" width="17.08984375" style="324" customWidth="1"/>
    <col min="4" max="4" width="14" style="324" customWidth="1"/>
    <col min="5" max="5" width="19.7265625" style="324" customWidth="1"/>
    <col min="6" max="6" width="15.26953125" style="324" hidden="1" customWidth="1"/>
    <col min="7" max="7" width="0.7265625" style="324" customWidth="1"/>
    <col min="8" max="16384" width="10.08984375" style="324"/>
  </cols>
  <sheetData>
    <row r="1" spans="1:6" ht="50.4" customHeight="1" thickBot="1" x14ac:dyDescent="0.35">
      <c r="A1" s="502" t="s">
        <v>531</v>
      </c>
      <c r="B1" s="503"/>
      <c r="C1" s="503"/>
      <c r="D1" s="503"/>
      <c r="E1" s="504"/>
      <c r="F1" s="323"/>
    </row>
    <row r="2" spans="1:6" ht="15" customHeight="1" x14ac:dyDescent="0.3">
      <c r="A2" s="325"/>
      <c r="B2" s="326"/>
      <c r="C2" s="326"/>
      <c r="D2" s="326"/>
      <c r="E2" s="327"/>
      <c r="F2" s="327"/>
    </row>
    <row r="3" spans="1:6" ht="18.75" customHeight="1" x14ac:dyDescent="0.35">
      <c r="A3" s="505" t="s">
        <v>178</v>
      </c>
      <c r="B3" s="506"/>
      <c r="C3" s="506"/>
      <c r="D3" s="506"/>
      <c r="E3" s="507"/>
      <c r="F3" s="328"/>
    </row>
    <row r="4" spans="1:6" ht="15" customHeight="1" x14ac:dyDescent="0.3">
      <c r="A4" s="329"/>
      <c r="B4" s="330"/>
      <c r="C4" s="330"/>
      <c r="D4" s="330"/>
      <c r="E4" s="331"/>
      <c r="F4" s="331"/>
    </row>
    <row r="5" spans="1:6" s="333" customFormat="1" ht="238.5" customHeight="1" x14ac:dyDescent="0.2">
      <c r="A5" s="508" t="s">
        <v>532</v>
      </c>
      <c r="B5" s="509"/>
      <c r="C5" s="509"/>
      <c r="D5" s="509"/>
      <c r="E5" s="510"/>
      <c r="F5" s="332"/>
    </row>
    <row r="6" spans="1:6" ht="15" customHeight="1" x14ac:dyDescent="0.3">
      <c r="A6" s="329"/>
      <c r="B6" s="330"/>
      <c r="C6" s="330"/>
      <c r="D6" s="330"/>
      <c r="E6" s="331"/>
      <c r="F6" s="331"/>
    </row>
    <row r="7" spans="1:6" ht="39" customHeight="1" x14ac:dyDescent="0.3">
      <c r="A7" s="511" t="s">
        <v>533</v>
      </c>
      <c r="B7" s="512"/>
      <c r="C7" s="512"/>
      <c r="D7" s="512"/>
      <c r="E7" s="513"/>
      <c r="F7" s="334"/>
    </row>
    <row r="8" spans="1:6" ht="15" customHeight="1" x14ac:dyDescent="0.3">
      <c r="A8" s="329"/>
      <c r="B8" s="330"/>
      <c r="C8" s="330"/>
      <c r="D8" s="330"/>
      <c r="E8" s="331"/>
      <c r="F8" s="331"/>
    </row>
    <row r="9" spans="1:6" ht="21" customHeight="1" x14ac:dyDescent="0.4">
      <c r="A9" s="514" t="s">
        <v>534</v>
      </c>
      <c r="B9" s="515"/>
      <c r="C9" s="515"/>
      <c r="D9" s="515"/>
      <c r="E9" s="516"/>
      <c r="F9" s="335"/>
    </row>
    <row r="10" spans="1:6" ht="47.4" customHeight="1" thickBot="1" x14ac:dyDescent="0.35">
      <c r="A10" s="336"/>
      <c r="B10" s="337"/>
      <c r="C10" s="337"/>
      <c r="D10" s="337"/>
      <c r="E10" s="338"/>
      <c r="F10" s="338"/>
    </row>
    <row r="11" spans="1:6" s="341" customFormat="1" ht="18" x14ac:dyDescent="0.35">
      <c r="A11" s="339" t="s">
        <v>160</v>
      </c>
      <c r="B11" s="340"/>
      <c r="D11" s="260" t="s">
        <v>179</v>
      </c>
      <c r="E11" s="342" t="e">
        <f>VLOOKUP(B11,[3]Paramètres!A3:C324,2,FALSE)</f>
        <v>#N/A</v>
      </c>
      <c r="F11" s="261" t="e">
        <f>VLOOKUP(#REF!,[3]Paramètres!$A:$B,2,FALSE)</f>
        <v>#REF!</v>
      </c>
    </row>
    <row r="12" spans="1:6" ht="18" x14ac:dyDescent="0.35">
      <c r="A12" s="339" t="s">
        <v>180</v>
      </c>
      <c r="B12" s="343" t="e">
        <f>VLOOKUP(B11,[3]Paramètres!A3:C324,3,FALSE)</f>
        <v>#N/A</v>
      </c>
    </row>
    <row r="13" spans="1:6" ht="15" thickBot="1" x14ac:dyDescent="0.35"/>
    <row r="14" spans="1:6" ht="18.600000000000001" thickBot="1" x14ac:dyDescent="0.4">
      <c r="A14" s="517" t="s">
        <v>7</v>
      </c>
      <c r="B14" s="518"/>
      <c r="C14" s="518"/>
      <c r="D14" s="518"/>
      <c r="E14" s="519"/>
      <c r="F14" s="263"/>
    </row>
    <row r="15" spans="1:6" ht="18" x14ac:dyDescent="0.35">
      <c r="A15" s="344" t="s">
        <v>5</v>
      </c>
      <c r="B15" s="520"/>
      <c r="C15" s="520"/>
      <c r="D15" s="345"/>
      <c r="E15" s="346"/>
      <c r="F15" s="263"/>
    </row>
    <row r="16" spans="1:6" ht="15.6" x14ac:dyDescent="0.3">
      <c r="A16" s="347" t="s">
        <v>535</v>
      </c>
      <c r="B16" s="521" t="s">
        <v>536</v>
      </c>
      <c r="C16" s="521"/>
      <c r="D16" s="348" t="s">
        <v>537</v>
      </c>
      <c r="E16" s="346"/>
      <c r="F16" s="263"/>
    </row>
    <row r="17" spans="1:6" ht="15.6" x14ac:dyDescent="0.3">
      <c r="A17" s="349" t="s">
        <v>538</v>
      </c>
      <c r="B17" s="522" t="s">
        <v>539</v>
      </c>
      <c r="C17" s="522"/>
      <c r="D17" s="350" t="s">
        <v>540</v>
      </c>
      <c r="E17" s="351"/>
      <c r="F17" s="263"/>
    </row>
    <row r="18" spans="1:6" s="357" customFormat="1" ht="31.2" x14ac:dyDescent="0.3">
      <c r="A18" s="352"/>
      <c r="B18" s="353" t="s">
        <v>541</v>
      </c>
      <c r="C18" s="354" t="s">
        <v>542</v>
      </c>
      <c r="D18" s="355"/>
      <c r="E18" s="356" t="s">
        <v>543</v>
      </c>
      <c r="F18" s="355"/>
    </row>
    <row r="19" spans="1:6" ht="22.5" customHeight="1" x14ac:dyDescent="0.3">
      <c r="A19" s="358" t="s">
        <v>544</v>
      </c>
      <c r="B19" s="359" t="s">
        <v>33</v>
      </c>
      <c r="C19" s="360">
        <f>SUM(C20:C27)</f>
        <v>0</v>
      </c>
      <c r="D19" s="361"/>
      <c r="E19" s="362">
        <f>SUM(E20:E27)</f>
        <v>0</v>
      </c>
      <c r="F19" s="361"/>
    </row>
    <row r="20" spans="1:6" ht="33.75" customHeight="1" x14ac:dyDescent="0.3">
      <c r="A20" s="266" t="s">
        <v>545</v>
      </c>
      <c r="B20" s="363">
        <v>0</v>
      </c>
      <c r="C20" s="364">
        <f>+B20/15</f>
        <v>0</v>
      </c>
      <c r="D20" s="365"/>
      <c r="E20" s="366"/>
      <c r="F20" s="365"/>
    </row>
    <row r="21" spans="1:6" ht="25.8" x14ac:dyDescent="0.3">
      <c r="A21" s="367" t="s">
        <v>546</v>
      </c>
      <c r="B21" s="368"/>
      <c r="C21" s="368"/>
      <c r="D21" s="365"/>
      <c r="E21" s="368"/>
      <c r="F21" s="365"/>
    </row>
    <row r="22" spans="1:6" ht="15.6" x14ac:dyDescent="0.3">
      <c r="A22" s="268" t="s">
        <v>547</v>
      </c>
      <c r="B22" s="369">
        <v>0</v>
      </c>
      <c r="C22" s="370">
        <f>+B22/30</f>
        <v>0</v>
      </c>
      <c r="D22" s="365"/>
      <c r="E22" s="371">
        <v>0</v>
      </c>
      <c r="F22" s="372"/>
    </row>
    <row r="23" spans="1:6" ht="15.6" x14ac:dyDescent="0.3">
      <c r="A23" s="268" t="s">
        <v>548</v>
      </c>
      <c r="B23" s="369">
        <v>0</v>
      </c>
      <c r="C23" s="370">
        <f>+B23/30</f>
        <v>0</v>
      </c>
      <c r="D23" s="365"/>
      <c r="E23" s="371">
        <v>0</v>
      </c>
      <c r="F23" s="372"/>
    </row>
    <row r="24" spans="1:6" ht="15" customHeight="1" x14ac:dyDescent="0.3">
      <c r="A24" s="268" t="s">
        <v>549</v>
      </c>
      <c r="B24" s="369">
        <v>0</v>
      </c>
      <c r="C24" s="370">
        <f>+B24/30</f>
        <v>0</v>
      </c>
      <c r="D24" s="365"/>
      <c r="E24" s="371"/>
      <c r="F24" s="372"/>
    </row>
    <row r="25" spans="1:6" ht="15" customHeight="1" x14ac:dyDescent="0.3">
      <c r="A25" s="268" t="s">
        <v>550</v>
      </c>
      <c r="B25" s="369">
        <v>0</v>
      </c>
      <c r="C25" s="370">
        <f>+B25/10</f>
        <v>0</v>
      </c>
      <c r="D25" s="365"/>
      <c r="E25" s="371">
        <v>0</v>
      </c>
      <c r="F25" s="372"/>
    </row>
    <row r="26" spans="1:6" ht="15.6" x14ac:dyDescent="0.3">
      <c r="A26" s="268" t="s">
        <v>551</v>
      </c>
      <c r="B26" s="369">
        <v>0</v>
      </c>
      <c r="C26" s="370">
        <f>+B26/30</f>
        <v>0</v>
      </c>
      <c r="D26" s="365"/>
      <c r="E26" s="371">
        <v>0</v>
      </c>
      <c r="F26" s="365"/>
    </row>
    <row r="27" spans="1:6" ht="15.6" x14ac:dyDescent="0.3">
      <c r="A27" s="268" t="s">
        <v>552</v>
      </c>
      <c r="B27" s="369">
        <v>0</v>
      </c>
      <c r="C27" s="373">
        <f>+B27/10</f>
        <v>0</v>
      </c>
      <c r="D27" s="365"/>
      <c r="E27" s="371">
        <v>0</v>
      </c>
      <c r="F27" s="365"/>
    </row>
    <row r="28" spans="1:6" ht="22.5" customHeight="1" x14ac:dyDescent="0.3">
      <c r="A28" s="374" t="s">
        <v>34</v>
      </c>
      <c r="B28" s="359" t="s">
        <v>33</v>
      </c>
      <c r="C28" s="360">
        <f>SUM(C29:C38)</f>
        <v>0</v>
      </c>
      <c r="D28" s="365"/>
      <c r="E28" s="362">
        <f>SUM(E29:E38)</f>
        <v>0</v>
      </c>
      <c r="F28" s="365"/>
    </row>
    <row r="29" spans="1:6" ht="15.6" x14ac:dyDescent="0.3">
      <c r="A29" s="523" t="s">
        <v>181</v>
      </c>
      <c r="B29" s="524"/>
      <c r="C29" s="375">
        <v>0</v>
      </c>
      <c r="D29" s="376"/>
      <c r="E29" s="371">
        <v>0</v>
      </c>
      <c r="F29" s="365"/>
    </row>
    <row r="30" spans="1:6" ht="15.6" x14ac:dyDescent="0.3">
      <c r="A30" s="500" t="s">
        <v>182</v>
      </c>
      <c r="B30" s="501"/>
      <c r="C30" s="375">
        <v>0</v>
      </c>
      <c r="D30" s="376"/>
      <c r="E30" s="371">
        <v>0</v>
      </c>
      <c r="F30" s="365"/>
    </row>
    <row r="31" spans="1:6" ht="15.6" x14ac:dyDescent="0.3">
      <c r="A31" s="500" t="s">
        <v>553</v>
      </c>
      <c r="B31" s="501"/>
      <c r="C31" s="377">
        <v>0</v>
      </c>
      <c r="D31" s="376"/>
      <c r="E31" s="378">
        <v>0</v>
      </c>
      <c r="F31" s="365"/>
    </row>
    <row r="32" spans="1:6" ht="15.6" x14ac:dyDescent="0.3">
      <c r="A32" s="500" t="s">
        <v>554</v>
      </c>
      <c r="B32" s="501"/>
      <c r="C32" s="377">
        <v>0</v>
      </c>
      <c r="D32" s="376"/>
      <c r="E32" s="378">
        <v>0</v>
      </c>
      <c r="F32" s="365"/>
    </row>
    <row r="33" spans="1:6" ht="31.5" customHeight="1" x14ac:dyDescent="0.3">
      <c r="A33" s="500" t="s">
        <v>555</v>
      </c>
      <c r="B33" s="501"/>
      <c r="C33" s="377">
        <v>0</v>
      </c>
      <c r="D33" s="376"/>
      <c r="E33" s="378">
        <v>0</v>
      </c>
      <c r="F33" s="365"/>
    </row>
    <row r="34" spans="1:6" ht="31.5" customHeight="1" x14ac:dyDescent="0.3">
      <c r="A34" s="500" t="s">
        <v>556</v>
      </c>
      <c r="B34" s="501"/>
      <c r="C34" s="377">
        <v>0</v>
      </c>
      <c r="D34" s="376"/>
      <c r="E34" s="378">
        <v>0</v>
      </c>
      <c r="F34" s="365"/>
    </row>
    <row r="35" spans="1:6" ht="15.6" x14ac:dyDescent="0.3">
      <c r="A35" s="500" t="s">
        <v>557</v>
      </c>
      <c r="B35" s="501"/>
      <c r="C35" s="377">
        <v>0</v>
      </c>
      <c r="D35" s="376"/>
      <c r="E35" s="378">
        <v>0</v>
      </c>
      <c r="F35" s="365"/>
    </row>
    <row r="36" spans="1:6" ht="15.6" x14ac:dyDescent="0.3">
      <c r="A36" s="500" t="s">
        <v>183</v>
      </c>
      <c r="B36" s="501"/>
      <c r="C36" s="377">
        <v>0</v>
      </c>
      <c r="D36" s="376"/>
      <c r="E36" s="378">
        <v>0</v>
      </c>
      <c r="F36" s="365"/>
    </row>
    <row r="37" spans="1:6" ht="15.6" x14ac:dyDescent="0.3">
      <c r="A37" s="500" t="s">
        <v>558</v>
      </c>
      <c r="B37" s="501"/>
      <c r="C37" s="377">
        <v>0</v>
      </c>
      <c r="D37" s="376"/>
      <c r="E37" s="378">
        <v>0</v>
      </c>
      <c r="F37" s="365"/>
    </row>
    <row r="38" spans="1:6" ht="15.6" x14ac:dyDescent="0.3">
      <c r="A38" s="526" t="s">
        <v>559</v>
      </c>
      <c r="B38" s="527"/>
      <c r="C38" s="379">
        <v>0</v>
      </c>
      <c r="D38" s="380"/>
      <c r="E38" s="381">
        <v>0</v>
      </c>
      <c r="F38" s="365"/>
    </row>
    <row r="39" spans="1:6" ht="18" x14ac:dyDescent="0.3">
      <c r="A39" s="374" t="s">
        <v>2</v>
      </c>
      <c r="B39" s="359" t="s">
        <v>33</v>
      </c>
      <c r="C39" s="360">
        <f>SUM(C40:C41)</f>
        <v>0</v>
      </c>
      <c r="D39" s="269"/>
      <c r="E39" s="362">
        <f>SUM(E40:E41)</f>
        <v>0</v>
      </c>
      <c r="F39" s="365"/>
    </row>
    <row r="40" spans="1:6" ht="15.6" x14ac:dyDescent="0.3">
      <c r="A40" s="523" t="s">
        <v>184</v>
      </c>
      <c r="B40" s="524"/>
      <c r="C40" s="382">
        <v>0</v>
      </c>
      <c r="D40" s="267"/>
      <c r="E40" s="371">
        <v>0</v>
      </c>
      <c r="F40" s="365"/>
    </row>
    <row r="41" spans="1:6" ht="16.2" thickBot="1" x14ac:dyDescent="0.35">
      <c r="A41" s="528" t="s">
        <v>560</v>
      </c>
      <c r="B41" s="529"/>
      <c r="C41" s="383">
        <v>0</v>
      </c>
      <c r="D41" s="267"/>
      <c r="E41" s="384">
        <v>0</v>
      </c>
      <c r="F41" s="365"/>
    </row>
    <row r="42" spans="1:6" ht="16.2" thickBot="1" x14ac:dyDescent="0.35">
      <c r="A42" s="385" t="s">
        <v>561</v>
      </c>
      <c r="B42" s="386"/>
      <c r="C42" s="387">
        <f>C19+C28-C39</f>
        <v>0</v>
      </c>
      <c r="D42" s="274"/>
      <c r="E42" s="388">
        <f>E19+E28-E39</f>
        <v>0</v>
      </c>
      <c r="F42" s="389"/>
    </row>
    <row r="43" spans="1:6" s="394" customFormat="1" ht="15.6" x14ac:dyDescent="0.2">
      <c r="A43" s="390" t="s">
        <v>562</v>
      </c>
      <c r="B43" s="391" t="e">
        <f>+C43/E42</f>
        <v>#DIV/0!</v>
      </c>
      <c r="C43" s="392">
        <f>+C42-E42</f>
        <v>0</v>
      </c>
      <c r="D43" s="283"/>
      <c r="E43" s="393"/>
      <c r="F43" s="365"/>
    </row>
    <row r="44" spans="1:6" ht="15.6" x14ac:dyDescent="0.3">
      <c r="A44" s="395"/>
      <c r="B44" s="274"/>
      <c r="C44" s="389"/>
      <c r="D44" s="274"/>
      <c r="E44" s="389"/>
      <c r="F44" s="389"/>
    </row>
    <row r="45" spans="1:6" ht="15.6" x14ac:dyDescent="0.3">
      <c r="A45" s="530" t="s">
        <v>563</v>
      </c>
      <c r="B45" s="531"/>
      <c r="C45" s="531"/>
      <c r="D45" s="531"/>
      <c r="E45" s="532"/>
      <c r="F45" s="396"/>
    </row>
    <row r="46" spans="1:6" ht="15.75" customHeight="1" x14ac:dyDescent="0.3">
      <c r="A46" s="533"/>
      <c r="B46" s="534"/>
      <c r="C46" s="534"/>
      <c r="D46" s="534"/>
      <c r="E46" s="535"/>
      <c r="F46" s="397"/>
    </row>
    <row r="47" spans="1:6" ht="15.75" customHeight="1" x14ac:dyDescent="0.3">
      <c r="A47" s="536"/>
      <c r="B47" s="537"/>
      <c r="C47" s="537"/>
      <c r="D47" s="537"/>
      <c r="E47" s="538"/>
      <c r="F47" s="397"/>
    </row>
    <row r="48" spans="1:6" ht="15.75" customHeight="1" x14ac:dyDescent="0.3">
      <c r="A48" s="536"/>
      <c r="B48" s="537"/>
      <c r="C48" s="537"/>
      <c r="D48" s="537"/>
      <c r="E48" s="538"/>
      <c r="F48" s="397"/>
    </row>
    <row r="49" spans="1:6" ht="15.75" customHeight="1" x14ac:dyDescent="0.3">
      <c r="A49" s="536"/>
      <c r="B49" s="537"/>
      <c r="C49" s="537"/>
      <c r="D49" s="537"/>
      <c r="E49" s="538"/>
      <c r="F49" s="397"/>
    </row>
    <row r="50" spans="1:6" ht="15.75" customHeight="1" x14ac:dyDescent="0.3">
      <c r="A50" s="536"/>
      <c r="B50" s="537"/>
      <c r="C50" s="537"/>
      <c r="D50" s="537"/>
      <c r="E50" s="538"/>
      <c r="F50" s="397"/>
    </row>
    <row r="51" spans="1:6" ht="15.75" customHeight="1" x14ac:dyDescent="0.3">
      <c r="A51" s="536"/>
      <c r="B51" s="537"/>
      <c r="C51" s="537"/>
      <c r="D51" s="537"/>
      <c r="E51" s="538"/>
      <c r="F51" s="397"/>
    </row>
    <row r="52" spans="1:6" ht="15.75" customHeight="1" x14ac:dyDescent="0.3">
      <c r="A52" s="536"/>
      <c r="B52" s="537"/>
      <c r="C52" s="537"/>
      <c r="D52" s="537"/>
      <c r="E52" s="538"/>
      <c r="F52" s="397"/>
    </row>
    <row r="53" spans="1:6" ht="15.75" customHeight="1" x14ac:dyDescent="0.3">
      <c r="A53" s="539"/>
      <c r="B53" s="540"/>
      <c r="C53" s="540"/>
      <c r="D53" s="540"/>
      <c r="E53" s="541"/>
      <c r="F53" s="397"/>
    </row>
    <row r="54" spans="1:6" ht="15.75" customHeight="1" x14ac:dyDescent="0.3">
      <c r="A54" s="525"/>
      <c r="B54" s="525"/>
      <c r="C54" s="525"/>
      <c r="D54" s="525"/>
      <c r="E54" s="525"/>
      <c r="F54" s="525"/>
    </row>
    <row r="55" spans="1:6" x14ac:dyDescent="0.3">
      <c r="A55" s="525"/>
      <c r="B55" s="525"/>
      <c r="C55" s="525"/>
      <c r="D55" s="525"/>
      <c r="E55" s="525"/>
      <c r="F55" s="525"/>
    </row>
    <row r="56" spans="1:6" ht="15.6" x14ac:dyDescent="0.3">
      <c r="A56" s="395"/>
      <c r="B56" s="274"/>
      <c r="C56" s="389"/>
      <c r="D56" s="274"/>
      <c r="E56" s="389"/>
      <c r="F56" s="389"/>
    </row>
    <row r="57" spans="1:6" ht="18" x14ac:dyDescent="0.35">
      <c r="A57" s="398" t="s">
        <v>6</v>
      </c>
      <c r="B57" s="399"/>
      <c r="C57" s="399"/>
      <c r="D57" s="399"/>
      <c r="E57" s="400"/>
      <c r="F57" s="273"/>
    </row>
    <row r="58" spans="1:6" ht="9" customHeight="1" x14ac:dyDescent="0.35">
      <c r="A58" s="401"/>
      <c r="B58" s="402"/>
      <c r="C58" s="402"/>
      <c r="D58" s="402"/>
      <c r="E58" s="403"/>
      <c r="F58" s="275"/>
    </row>
    <row r="59" spans="1:6" ht="47.25" customHeight="1" x14ac:dyDescent="0.3">
      <c r="A59" s="545" t="s">
        <v>564</v>
      </c>
      <c r="B59" s="546"/>
      <c r="C59" s="546"/>
      <c r="D59" s="546"/>
      <c r="E59" s="547"/>
      <c r="F59" s="404"/>
    </row>
    <row r="60" spans="1:6" ht="9" customHeight="1" x14ac:dyDescent="0.3">
      <c r="A60" s="405"/>
      <c r="B60" s="406"/>
      <c r="C60" s="406"/>
      <c r="D60" s="406"/>
      <c r="E60" s="407"/>
      <c r="F60" s="404"/>
    </row>
    <row r="61" spans="1:6" ht="30.75" customHeight="1" x14ac:dyDescent="0.3">
      <c r="A61" s="545" t="s">
        <v>565</v>
      </c>
      <c r="B61" s="546"/>
      <c r="C61" s="546"/>
      <c r="D61" s="546"/>
      <c r="E61" s="547"/>
      <c r="F61" s="404"/>
    </row>
    <row r="62" spans="1:6" ht="9" customHeight="1" x14ac:dyDescent="0.3">
      <c r="A62" s="405"/>
      <c r="B62" s="406"/>
      <c r="C62" s="406"/>
      <c r="D62" s="406"/>
      <c r="E62" s="407"/>
      <c r="F62" s="404"/>
    </row>
    <row r="63" spans="1:6" ht="46.5" customHeight="1" x14ac:dyDescent="0.3">
      <c r="A63" s="545" t="s">
        <v>566</v>
      </c>
      <c r="B63" s="546"/>
      <c r="C63" s="546"/>
      <c r="D63" s="546"/>
      <c r="E63" s="547"/>
      <c r="F63" s="275"/>
    </row>
    <row r="64" spans="1:6" ht="9" customHeight="1" x14ac:dyDescent="0.3">
      <c r="A64" s="545" t="s">
        <v>567</v>
      </c>
      <c r="B64" s="546"/>
      <c r="C64" s="546"/>
      <c r="D64" s="546"/>
      <c r="E64" s="547"/>
      <c r="F64" s="275"/>
    </row>
    <row r="65" spans="1:6" ht="32.25" customHeight="1" x14ac:dyDescent="0.3">
      <c r="A65" s="545"/>
      <c r="B65" s="546"/>
      <c r="C65" s="546"/>
      <c r="D65" s="546"/>
      <c r="E65" s="547"/>
      <c r="F65" s="275"/>
    </row>
    <row r="66" spans="1:6" ht="9" customHeight="1" x14ac:dyDescent="0.3">
      <c r="A66" s="405"/>
      <c r="B66" s="406"/>
      <c r="C66" s="406"/>
      <c r="D66" s="406"/>
      <c r="E66" s="407"/>
      <c r="F66" s="275"/>
    </row>
    <row r="67" spans="1:6" ht="31.5" customHeight="1" x14ac:dyDescent="0.3">
      <c r="A67" s="545" t="s">
        <v>568</v>
      </c>
      <c r="B67" s="546"/>
      <c r="C67" s="546"/>
      <c r="D67" s="546"/>
      <c r="E67" s="547"/>
      <c r="F67" s="275"/>
    </row>
    <row r="68" spans="1:6" ht="15.6" x14ac:dyDescent="0.3">
      <c r="A68" s="408"/>
      <c r="B68" s="409"/>
      <c r="C68" s="409"/>
      <c r="D68" s="409"/>
      <c r="E68" s="410"/>
      <c r="F68" s="281"/>
    </row>
    <row r="69" spans="1:6" ht="16.2" thickBot="1" x14ac:dyDescent="0.35">
      <c r="A69" s="274"/>
      <c r="B69" s="274"/>
      <c r="C69" s="274"/>
      <c r="D69" s="274"/>
      <c r="E69" s="274"/>
      <c r="F69" s="411"/>
    </row>
    <row r="70" spans="1:6" ht="18.600000000000001" thickBot="1" x14ac:dyDescent="0.4">
      <c r="A70" s="412" t="s">
        <v>569</v>
      </c>
      <c r="B70" s="413"/>
      <c r="C70" s="413"/>
      <c r="D70" s="413"/>
      <c r="E70" s="414"/>
    </row>
    <row r="71" spans="1:6" ht="8.25" customHeight="1" x14ac:dyDescent="0.35">
      <c r="A71" s="262"/>
      <c r="B71" s="277"/>
      <c r="C71" s="277"/>
      <c r="D71" s="277"/>
      <c r="E71" s="277"/>
    </row>
    <row r="72" spans="1:6" ht="15.6" x14ac:dyDescent="0.3">
      <c r="A72" s="415" t="s">
        <v>3</v>
      </c>
      <c r="B72" s="278" t="s">
        <v>4</v>
      </c>
      <c r="C72" s="416">
        <v>2021</v>
      </c>
      <c r="D72" s="417"/>
      <c r="E72" s="418" t="s">
        <v>570</v>
      </c>
      <c r="F72" s="282"/>
    </row>
    <row r="73" spans="1:6" ht="72" x14ac:dyDescent="0.3">
      <c r="A73" s="268" t="s">
        <v>571</v>
      </c>
      <c r="B73" s="419" t="s">
        <v>572</v>
      </c>
      <c r="C73" s="375">
        <v>0</v>
      </c>
      <c r="D73" s="365"/>
      <c r="E73" s="371">
        <v>0</v>
      </c>
      <c r="F73" s="263"/>
    </row>
    <row r="74" spans="1:6" ht="28.8" x14ac:dyDescent="0.3">
      <c r="A74" s="268" t="s">
        <v>573</v>
      </c>
      <c r="B74" s="419" t="s">
        <v>574</v>
      </c>
      <c r="C74" s="377"/>
      <c r="D74" s="365"/>
      <c r="E74" s="378">
        <v>0</v>
      </c>
      <c r="F74" s="263"/>
    </row>
    <row r="75" spans="1:6" ht="43.2" x14ac:dyDescent="0.3">
      <c r="A75" s="268" t="s">
        <v>185</v>
      </c>
      <c r="B75" s="419" t="s">
        <v>575</v>
      </c>
      <c r="C75" s="377">
        <v>0</v>
      </c>
      <c r="D75" s="365"/>
      <c r="E75" s="378">
        <v>0</v>
      </c>
      <c r="F75" s="263"/>
    </row>
    <row r="76" spans="1:6" ht="18" x14ac:dyDescent="0.3">
      <c r="A76" s="420" t="s">
        <v>2</v>
      </c>
      <c r="B76" s="421"/>
      <c r="C76" s="422"/>
      <c r="D76" s="361"/>
      <c r="E76" s="423"/>
      <c r="F76" s="263"/>
    </row>
    <row r="77" spans="1:6" ht="50.4" customHeight="1" thickBot="1" x14ac:dyDescent="0.35">
      <c r="A77" s="280" t="s">
        <v>576</v>
      </c>
      <c r="B77" s="424"/>
      <c r="C77" s="425">
        <v>0</v>
      </c>
      <c r="D77" s="426"/>
      <c r="E77" s="427">
        <v>0</v>
      </c>
      <c r="F77" s="263"/>
    </row>
    <row r="78" spans="1:6" ht="16.2" thickBot="1" x14ac:dyDescent="0.35">
      <c r="A78" s="428" t="s">
        <v>577</v>
      </c>
      <c r="B78" s="386"/>
      <c r="C78" s="429">
        <f>SUM(C73:C75)-C77</f>
        <v>0</v>
      </c>
      <c r="D78" s="393"/>
      <c r="E78" s="430">
        <f>SUM(E73:E75)-E77</f>
        <v>0</v>
      </c>
      <c r="F78" s="263"/>
    </row>
    <row r="79" spans="1:6" ht="15.6" x14ac:dyDescent="0.3">
      <c r="A79" s="431" t="s">
        <v>562</v>
      </c>
      <c r="B79" s="432" t="e">
        <f>+C79/E78</f>
        <v>#DIV/0!</v>
      </c>
      <c r="C79" s="433">
        <f>+C78-E78</f>
        <v>0</v>
      </c>
      <c r="D79" s="274"/>
      <c r="E79" s="389"/>
      <c r="F79" s="434"/>
    </row>
    <row r="80" spans="1:6" ht="15.6" x14ac:dyDescent="0.3">
      <c r="A80" s="435"/>
      <c r="B80" s="274"/>
      <c r="C80" s="274"/>
      <c r="D80" s="274"/>
      <c r="E80" s="274"/>
      <c r="F80" s="263"/>
    </row>
    <row r="81" spans="1:6" ht="15.6" x14ac:dyDescent="0.3">
      <c r="A81" s="530" t="s">
        <v>578</v>
      </c>
      <c r="B81" s="531"/>
      <c r="C81" s="531"/>
      <c r="D81" s="531"/>
      <c r="E81" s="532"/>
      <c r="F81" s="263"/>
    </row>
    <row r="82" spans="1:6" ht="15.75" customHeight="1" x14ac:dyDescent="0.3">
      <c r="A82" s="533"/>
      <c r="B82" s="534"/>
      <c r="C82" s="534"/>
      <c r="D82" s="534"/>
      <c r="E82" s="535"/>
      <c r="F82" s="263"/>
    </row>
    <row r="83" spans="1:6" ht="15.75" customHeight="1" x14ac:dyDescent="0.3">
      <c r="A83" s="536"/>
      <c r="B83" s="537"/>
      <c r="C83" s="537"/>
      <c r="D83" s="537"/>
      <c r="E83" s="538"/>
      <c r="F83" s="263"/>
    </row>
    <row r="84" spans="1:6" ht="15.75" customHeight="1" x14ac:dyDescent="0.3">
      <c r="A84" s="536"/>
      <c r="B84" s="537"/>
      <c r="C84" s="537"/>
      <c r="D84" s="537"/>
      <c r="E84" s="538"/>
      <c r="F84" s="263"/>
    </row>
    <row r="85" spans="1:6" ht="15.75" customHeight="1" x14ac:dyDescent="0.3">
      <c r="A85" s="536"/>
      <c r="B85" s="537"/>
      <c r="C85" s="537"/>
      <c r="D85" s="537"/>
      <c r="E85" s="538"/>
      <c r="F85" s="263"/>
    </row>
    <row r="86" spans="1:6" ht="15.75" customHeight="1" x14ac:dyDescent="0.3">
      <c r="A86" s="536"/>
      <c r="B86" s="537"/>
      <c r="C86" s="537"/>
      <c r="D86" s="537"/>
      <c r="E86" s="538"/>
      <c r="F86" s="263"/>
    </row>
    <row r="87" spans="1:6" ht="15.75" customHeight="1" x14ac:dyDescent="0.3">
      <c r="A87" s="539"/>
      <c r="B87" s="540"/>
      <c r="C87" s="540"/>
      <c r="D87" s="540"/>
      <c r="E87" s="541"/>
      <c r="F87" s="263"/>
    </row>
    <row r="88" spans="1:6" ht="15.6" x14ac:dyDescent="0.3">
      <c r="A88" s="436"/>
      <c r="B88" s="274"/>
      <c r="C88" s="274"/>
      <c r="D88" s="274"/>
      <c r="E88" s="274"/>
      <c r="F88" s="263"/>
    </row>
    <row r="89" spans="1:6" ht="18" x14ac:dyDescent="0.35">
      <c r="A89" s="398" t="s">
        <v>6</v>
      </c>
      <c r="B89" s="399"/>
      <c r="C89" s="399"/>
      <c r="D89" s="399"/>
      <c r="E89" s="400"/>
      <c r="F89" s="263"/>
    </row>
    <row r="90" spans="1:6" ht="15.6" x14ac:dyDescent="0.3">
      <c r="A90" s="545" t="s">
        <v>579</v>
      </c>
      <c r="B90" s="546"/>
      <c r="C90" s="546"/>
      <c r="D90" s="546"/>
      <c r="E90" s="547"/>
      <c r="F90" s="263"/>
    </row>
    <row r="91" spans="1:6" ht="15.6" x14ac:dyDescent="0.3">
      <c r="A91" s="545" t="s">
        <v>580</v>
      </c>
      <c r="B91" s="546"/>
      <c r="C91" s="546"/>
      <c r="D91" s="546"/>
      <c r="E91" s="547"/>
      <c r="F91" s="263"/>
    </row>
    <row r="92" spans="1:6" ht="15.6" x14ac:dyDescent="0.3">
      <c r="A92" s="408"/>
      <c r="B92" s="409"/>
      <c r="C92" s="409"/>
      <c r="D92" s="409"/>
      <c r="E92" s="410"/>
      <c r="F92" s="263"/>
    </row>
    <row r="93" spans="1:6" ht="15.6" x14ac:dyDescent="0.3">
      <c r="A93" s="437"/>
      <c r="B93" s="437"/>
      <c r="C93" s="437"/>
      <c r="D93" s="437"/>
      <c r="E93" s="437"/>
      <c r="F93" s="263"/>
    </row>
    <row r="94" spans="1:6" ht="16.2" thickBot="1" x14ac:dyDescent="0.35">
      <c r="A94" s="274"/>
      <c r="B94" s="274"/>
      <c r="C94" s="274"/>
      <c r="D94" s="274"/>
      <c r="E94" s="274"/>
      <c r="F94" s="263"/>
    </row>
    <row r="95" spans="1:6" ht="18.600000000000001" thickBot="1" x14ac:dyDescent="0.4">
      <c r="A95" s="438" t="s">
        <v>0</v>
      </c>
      <c r="B95" s="439"/>
      <c r="C95" s="439"/>
      <c r="D95" s="439"/>
      <c r="E95" s="440"/>
      <c r="F95" s="263"/>
    </row>
    <row r="96" spans="1:6" ht="9" customHeight="1" x14ac:dyDescent="0.35">
      <c r="A96" s="279"/>
      <c r="B96" s="276"/>
      <c r="C96" s="274"/>
      <c r="D96" s="274"/>
      <c r="E96" s="274"/>
      <c r="F96" s="263"/>
    </row>
    <row r="97" spans="1:6" ht="15.6" x14ac:dyDescent="0.3">
      <c r="A97" s="278" t="s">
        <v>3</v>
      </c>
      <c r="B97" s="278" t="s">
        <v>4</v>
      </c>
      <c r="C97" s="416">
        <v>2021</v>
      </c>
      <c r="D97" s="417"/>
      <c r="E97" s="418" t="s">
        <v>570</v>
      </c>
    </row>
    <row r="98" spans="1:6" ht="156" x14ac:dyDescent="0.3">
      <c r="A98" s="268" t="s">
        <v>581</v>
      </c>
      <c r="B98" s="280" t="s">
        <v>582</v>
      </c>
      <c r="C98" s="441">
        <v>0</v>
      </c>
      <c r="D98" s="393"/>
      <c r="E98" s="442">
        <v>0</v>
      </c>
      <c r="F98" s="263"/>
    </row>
    <row r="99" spans="1:6" ht="15.6" x14ac:dyDescent="0.3">
      <c r="A99" s="443" t="s">
        <v>562</v>
      </c>
      <c r="B99" s="444" t="e">
        <f>+C99/E98</f>
        <v>#DIV/0!</v>
      </c>
      <c r="C99" s="445">
        <f>+C98-E98</f>
        <v>0</v>
      </c>
      <c r="D99" s="274"/>
      <c r="E99" s="389"/>
      <c r="F99" s="434"/>
    </row>
    <row r="100" spans="1:6" ht="20.25" customHeight="1" x14ac:dyDescent="0.3">
      <c r="A100" s="274"/>
      <c r="B100" s="274"/>
      <c r="C100" s="274"/>
      <c r="D100" s="274"/>
      <c r="E100" s="274"/>
      <c r="F100" s="263"/>
    </row>
    <row r="101" spans="1:6" ht="15.6" x14ac:dyDescent="0.3">
      <c r="A101" s="548" t="s">
        <v>583</v>
      </c>
      <c r="B101" s="549"/>
      <c r="C101" s="549"/>
      <c r="D101" s="549"/>
      <c r="E101" s="550"/>
      <c r="F101" s="263"/>
    </row>
    <row r="102" spans="1:6" ht="14.25" customHeight="1" x14ac:dyDescent="0.3">
      <c r="A102" s="551"/>
      <c r="B102" s="552"/>
      <c r="C102" s="552"/>
      <c r="D102" s="552"/>
      <c r="E102" s="553"/>
      <c r="F102" s="263"/>
    </row>
    <row r="103" spans="1:6" ht="14.25" customHeight="1" x14ac:dyDescent="0.3">
      <c r="A103" s="554"/>
      <c r="B103" s="555"/>
      <c r="C103" s="555"/>
      <c r="D103" s="555"/>
      <c r="E103" s="556"/>
      <c r="F103" s="263"/>
    </row>
    <row r="104" spans="1:6" ht="14.25" customHeight="1" x14ac:dyDescent="0.3">
      <c r="A104" s="554"/>
      <c r="B104" s="555"/>
      <c r="C104" s="555"/>
      <c r="D104" s="555"/>
      <c r="E104" s="556"/>
      <c r="F104" s="263"/>
    </row>
    <row r="105" spans="1:6" ht="14.25" customHeight="1" x14ac:dyDescent="0.3">
      <c r="A105" s="554"/>
      <c r="B105" s="555"/>
      <c r="C105" s="555"/>
      <c r="D105" s="555"/>
      <c r="E105" s="556"/>
      <c r="F105" s="263"/>
    </row>
    <row r="106" spans="1:6" ht="14.25" customHeight="1" x14ac:dyDescent="0.3">
      <c r="A106" s="554"/>
      <c r="B106" s="555"/>
      <c r="C106" s="555"/>
      <c r="D106" s="555"/>
      <c r="E106" s="556"/>
      <c r="F106" s="263"/>
    </row>
    <row r="107" spans="1:6" ht="14.25" customHeight="1" x14ac:dyDescent="0.3">
      <c r="A107" s="554"/>
      <c r="B107" s="555"/>
      <c r="C107" s="555"/>
      <c r="D107" s="555"/>
      <c r="E107" s="556"/>
      <c r="F107" s="263"/>
    </row>
    <row r="108" spans="1:6" ht="14.25" customHeight="1" x14ac:dyDescent="0.3">
      <c r="A108" s="554"/>
      <c r="B108" s="555"/>
      <c r="C108" s="555"/>
      <c r="D108" s="555"/>
      <c r="E108" s="556"/>
      <c r="F108" s="263"/>
    </row>
    <row r="109" spans="1:6" ht="14.25" customHeight="1" x14ac:dyDescent="0.3">
      <c r="A109" s="557"/>
      <c r="B109" s="558"/>
      <c r="C109" s="558"/>
      <c r="D109" s="558"/>
      <c r="E109" s="559"/>
      <c r="F109" s="263"/>
    </row>
    <row r="110" spans="1:6" ht="14.25" customHeight="1" x14ac:dyDescent="0.3">
      <c r="A110" s="274"/>
      <c r="B110" s="274"/>
      <c r="C110" s="274"/>
      <c r="D110" s="274"/>
      <c r="E110" s="274"/>
      <c r="F110" s="263"/>
    </row>
    <row r="111" spans="1:6" ht="8.25" customHeight="1" thickBot="1" x14ac:dyDescent="0.35">
      <c r="A111" s="274"/>
      <c r="B111" s="274"/>
      <c r="C111" s="274"/>
      <c r="D111" s="274"/>
      <c r="E111" s="274"/>
      <c r="F111" s="263"/>
    </row>
    <row r="112" spans="1:6" ht="18.600000000000001" thickBot="1" x14ac:dyDescent="0.4">
      <c r="A112" s="438" t="s">
        <v>1</v>
      </c>
      <c r="B112" s="446"/>
      <c r="C112" s="446"/>
      <c r="D112" s="446"/>
      <c r="E112" s="447"/>
      <c r="F112" s="263"/>
    </row>
    <row r="113" spans="1:6" ht="6.75" customHeight="1" x14ac:dyDescent="0.3"/>
    <row r="114" spans="1:6" ht="18" x14ac:dyDescent="0.35">
      <c r="A114" s="271" t="s">
        <v>5</v>
      </c>
      <c r="B114" s="272"/>
      <c r="C114" s="272"/>
      <c r="D114" s="272"/>
      <c r="E114" s="264"/>
      <c r="F114" s="263"/>
    </row>
    <row r="115" spans="1:6" ht="15.6" x14ac:dyDescent="0.3">
      <c r="A115" s="542" t="s">
        <v>584</v>
      </c>
      <c r="B115" s="543"/>
      <c r="C115" s="543"/>
      <c r="D115" s="543"/>
      <c r="E115" s="544"/>
    </row>
    <row r="116" spans="1:6" ht="15.6" x14ac:dyDescent="0.3">
      <c r="A116" s="542" t="s">
        <v>585</v>
      </c>
      <c r="B116" s="543"/>
      <c r="C116" s="543"/>
      <c r="D116" s="543"/>
      <c r="E116" s="544"/>
    </row>
    <row r="117" spans="1:6" ht="7.5" customHeight="1" x14ac:dyDescent="0.3">
      <c r="A117" s="270"/>
      <c r="B117" s="276"/>
      <c r="C117" s="276"/>
      <c r="D117" s="276"/>
      <c r="E117" s="265"/>
    </row>
    <row r="118" spans="1:6" ht="8.25" customHeight="1" x14ac:dyDescent="0.3">
      <c r="A118" s="274"/>
      <c r="B118" s="274"/>
      <c r="C118" s="274"/>
      <c r="D118" s="274"/>
      <c r="E118" s="274"/>
      <c r="F118" s="263"/>
    </row>
    <row r="119" spans="1:6" ht="31.2" x14ac:dyDescent="0.3">
      <c r="A119" s="278"/>
      <c r="B119" s="359" t="s">
        <v>586</v>
      </c>
      <c r="C119" s="448" t="s">
        <v>542</v>
      </c>
      <c r="D119" s="417"/>
      <c r="E119" s="449" t="s">
        <v>543</v>
      </c>
    </row>
    <row r="120" spans="1:6" ht="18" x14ac:dyDescent="0.3">
      <c r="A120" s="358" t="s">
        <v>544</v>
      </c>
      <c r="B120" s="359" t="s">
        <v>33</v>
      </c>
      <c r="C120" s="450">
        <f>C121+C123+C124</f>
        <v>0</v>
      </c>
      <c r="D120" s="417"/>
      <c r="E120" s="451">
        <f>E121+E123+E124</f>
        <v>0</v>
      </c>
    </row>
    <row r="121" spans="1:6" ht="25.8" x14ac:dyDescent="0.3">
      <c r="A121" s="452" t="s">
        <v>587</v>
      </c>
      <c r="B121" s="453">
        <v>0</v>
      </c>
      <c r="C121" s="454">
        <f>+B121/15</f>
        <v>0</v>
      </c>
      <c r="D121" s="417"/>
      <c r="E121" s="455">
        <v>0</v>
      </c>
    </row>
    <row r="122" spans="1:6" ht="25.8" x14ac:dyDescent="0.3">
      <c r="A122" s="367" t="s">
        <v>546</v>
      </c>
      <c r="B122" s="456"/>
      <c r="C122" s="456"/>
      <c r="D122" s="417"/>
      <c r="E122" s="456"/>
    </row>
    <row r="123" spans="1:6" ht="15.6" x14ac:dyDescent="0.3">
      <c r="A123" s="267" t="s">
        <v>588</v>
      </c>
      <c r="B123" s="453">
        <v>0</v>
      </c>
      <c r="C123" s="454">
        <f>+B123/30</f>
        <v>0</v>
      </c>
      <c r="D123" s="417"/>
      <c r="E123" s="455">
        <v>0</v>
      </c>
    </row>
    <row r="124" spans="1:6" ht="15.6" x14ac:dyDescent="0.3">
      <c r="A124" s="267" t="s">
        <v>589</v>
      </c>
      <c r="B124" s="453">
        <v>0</v>
      </c>
      <c r="C124" s="454">
        <f>+B124/10</f>
        <v>0</v>
      </c>
      <c r="D124" s="417"/>
      <c r="E124" s="455">
        <v>0</v>
      </c>
    </row>
    <row r="125" spans="1:6" ht="22.5" customHeight="1" x14ac:dyDescent="0.3">
      <c r="A125" s="358" t="s">
        <v>34</v>
      </c>
      <c r="B125" s="359" t="s">
        <v>33</v>
      </c>
      <c r="C125" s="457">
        <f>SUM(C126:C127)</f>
        <v>0</v>
      </c>
      <c r="D125" s="361"/>
      <c r="E125" s="458">
        <f>SUM(E126:E127)</f>
        <v>0</v>
      </c>
    </row>
    <row r="126" spans="1:6" ht="27.75" customHeight="1" x14ac:dyDescent="0.3">
      <c r="A126" s="523" t="s">
        <v>590</v>
      </c>
      <c r="B126" s="524"/>
      <c r="C126" s="459">
        <v>0</v>
      </c>
      <c r="D126" s="365"/>
      <c r="E126" s="460">
        <v>0</v>
      </c>
    </row>
    <row r="127" spans="1:6" ht="15.6" x14ac:dyDescent="0.3">
      <c r="A127" s="526" t="s">
        <v>591</v>
      </c>
      <c r="B127" s="527"/>
      <c r="C127" s="379">
        <v>0</v>
      </c>
      <c r="D127" s="365"/>
      <c r="E127" s="381">
        <v>0</v>
      </c>
    </row>
    <row r="128" spans="1:6" ht="18" x14ac:dyDescent="0.3">
      <c r="A128" s="358" t="s">
        <v>2</v>
      </c>
      <c r="B128" s="359" t="s">
        <v>33</v>
      </c>
      <c r="C128" s="360">
        <f>SUM(C129:C131)</f>
        <v>0</v>
      </c>
      <c r="D128" s="365"/>
      <c r="E128" s="362">
        <f>SUM(E129:E131)</f>
        <v>0</v>
      </c>
    </row>
    <row r="129" spans="1:6" ht="15.6" x14ac:dyDescent="0.3">
      <c r="A129" s="500" t="s">
        <v>592</v>
      </c>
      <c r="B129" s="501"/>
      <c r="C129" s="375">
        <v>0</v>
      </c>
      <c r="D129" s="365"/>
      <c r="E129" s="371">
        <v>0</v>
      </c>
    </row>
    <row r="130" spans="1:6" ht="15" customHeight="1" x14ac:dyDescent="0.3">
      <c r="A130" s="500" t="s">
        <v>593</v>
      </c>
      <c r="B130" s="501"/>
      <c r="C130" s="377">
        <v>0</v>
      </c>
      <c r="D130" s="365"/>
      <c r="E130" s="378">
        <v>0</v>
      </c>
    </row>
    <row r="131" spans="1:6" ht="15" customHeight="1" thickBot="1" x14ac:dyDescent="0.35">
      <c r="A131" s="500" t="s">
        <v>594</v>
      </c>
      <c r="B131" s="501"/>
      <c r="C131" s="461">
        <v>0</v>
      </c>
      <c r="D131" s="365"/>
      <c r="E131" s="378">
        <v>0</v>
      </c>
    </row>
    <row r="132" spans="1:6" ht="22.5" customHeight="1" thickBot="1" x14ac:dyDescent="0.35">
      <c r="A132" s="462" t="s">
        <v>595</v>
      </c>
      <c r="B132" s="386"/>
      <c r="C132" s="429">
        <f>C120+C125-C128</f>
        <v>0</v>
      </c>
      <c r="D132" s="393"/>
      <c r="E132" s="430">
        <f>E120+E125-E128</f>
        <v>0</v>
      </c>
    </row>
    <row r="133" spans="1:6" ht="15.6" x14ac:dyDescent="0.3">
      <c r="A133" s="390" t="s">
        <v>562</v>
      </c>
      <c r="B133" s="391" t="e">
        <f>+C133/E132</f>
        <v>#DIV/0!</v>
      </c>
      <c r="C133" s="463">
        <f>+C132-E132</f>
        <v>0</v>
      </c>
      <c r="D133" s="274"/>
      <c r="E133" s="464"/>
      <c r="F133" s="434"/>
    </row>
    <row r="134" spans="1:6" ht="8.25" customHeight="1" x14ac:dyDescent="0.3">
      <c r="A134" s="465"/>
      <c r="B134" s="283"/>
      <c r="C134" s="283"/>
      <c r="D134" s="283"/>
      <c r="E134" s="283"/>
    </row>
    <row r="135" spans="1:6" ht="15.6" x14ac:dyDescent="0.3">
      <c r="A135" s="563" t="s">
        <v>596</v>
      </c>
      <c r="B135" s="564"/>
      <c r="C135" s="564"/>
      <c r="D135" s="564"/>
      <c r="E135" s="565"/>
      <c r="F135" s="394"/>
    </row>
    <row r="136" spans="1:6" x14ac:dyDescent="0.3">
      <c r="A136" s="566">
        <v>0</v>
      </c>
      <c r="B136" s="567"/>
      <c r="C136" s="567"/>
      <c r="D136" s="567"/>
      <c r="E136" s="568"/>
      <c r="F136" s="394"/>
    </row>
    <row r="137" spans="1:6" x14ac:dyDescent="0.3">
      <c r="A137" s="569"/>
      <c r="B137" s="570"/>
      <c r="C137" s="570"/>
      <c r="D137" s="570"/>
      <c r="E137" s="571"/>
      <c r="F137" s="394"/>
    </row>
    <row r="138" spans="1:6" x14ac:dyDescent="0.3">
      <c r="A138" s="569"/>
      <c r="B138" s="570"/>
      <c r="C138" s="570"/>
      <c r="D138" s="570"/>
      <c r="E138" s="571"/>
      <c r="F138" s="394"/>
    </row>
    <row r="139" spans="1:6" x14ac:dyDescent="0.3">
      <c r="A139" s="572"/>
      <c r="B139" s="573"/>
      <c r="C139" s="573"/>
      <c r="D139" s="573"/>
      <c r="E139" s="574"/>
      <c r="F139" s="394"/>
    </row>
    <row r="140" spans="1:6" ht="10.5" customHeight="1" x14ac:dyDescent="0.3">
      <c r="A140" s="394"/>
      <c r="B140" s="394"/>
      <c r="C140" s="394"/>
      <c r="D140" s="394"/>
      <c r="E140" s="394"/>
      <c r="F140" s="394"/>
    </row>
    <row r="141" spans="1:6" ht="18" x14ac:dyDescent="0.35">
      <c r="A141" s="398" t="s">
        <v>6</v>
      </c>
      <c r="B141" s="399"/>
      <c r="C141" s="399"/>
      <c r="D141" s="399"/>
      <c r="E141" s="400"/>
      <c r="F141" s="263"/>
    </row>
    <row r="142" spans="1:6" ht="15.6" x14ac:dyDescent="0.3">
      <c r="A142" s="542" t="s">
        <v>597</v>
      </c>
      <c r="B142" s="543"/>
      <c r="C142" s="543"/>
      <c r="D142" s="543"/>
      <c r="E142" s="544"/>
    </row>
    <row r="143" spans="1:6" ht="15.6" x14ac:dyDescent="0.3">
      <c r="A143" s="542" t="s">
        <v>598</v>
      </c>
      <c r="B143" s="543"/>
      <c r="C143" s="543"/>
      <c r="D143" s="543"/>
      <c r="E143" s="544"/>
    </row>
    <row r="144" spans="1:6" ht="15.6" x14ac:dyDescent="0.3">
      <c r="A144" s="542" t="s">
        <v>599</v>
      </c>
      <c r="B144" s="543"/>
      <c r="C144" s="543"/>
      <c r="D144" s="543"/>
      <c r="E144" s="544"/>
    </row>
    <row r="145" spans="1:6" ht="6" customHeight="1" x14ac:dyDescent="0.3">
      <c r="A145" s="560"/>
      <c r="B145" s="561"/>
      <c r="C145" s="561"/>
      <c r="D145" s="561"/>
      <c r="E145" s="562"/>
    </row>
    <row r="146" spans="1:6" ht="15" thickBot="1" x14ac:dyDescent="0.35"/>
    <row r="147" spans="1:6" ht="15" thickBot="1" x14ac:dyDescent="0.35">
      <c r="A147" s="581" t="s">
        <v>600</v>
      </c>
      <c r="B147" s="582"/>
      <c r="C147" s="582"/>
      <c r="D147" s="582"/>
      <c r="E147" s="583"/>
      <c r="F147" s="394"/>
    </row>
    <row r="148" spans="1:6" x14ac:dyDescent="0.3">
      <c r="B148" s="284"/>
      <c r="C148" s="284"/>
      <c r="D148" s="284"/>
      <c r="E148" s="284"/>
      <c r="F148" s="284"/>
    </row>
    <row r="149" spans="1:6" x14ac:dyDescent="0.3">
      <c r="A149" s="324" t="s">
        <v>601</v>
      </c>
      <c r="B149" s="284"/>
      <c r="C149" s="284"/>
      <c r="D149" s="284"/>
      <c r="E149" s="284"/>
      <c r="F149" s="284"/>
    </row>
    <row r="150" spans="1:6" ht="15.6" x14ac:dyDescent="0.3">
      <c r="A150" s="283"/>
      <c r="B150" s="284"/>
      <c r="C150" s="284"/>
      <c r="D150" s="284"/>
      <c r="E150" s="284"/>
      <c r="F150" s="284"/>
    </row>
    <row r="151" spans="1:6" ht="15.6" x14ac:dyDescent="0.3">
      <c r="A151" s="283" t="s">
        <v>186</v>
      </c>
      <c r="C151" s="466"/>
      <c r="F151" s="285"/>
    </row>
    <row r="152" spans="1:6" ht="15.6" x14ac:dyDescent="0.3">
      <c r="A152" s="283"/>
      <c r="B152" s="283"/>
      <c r="C152" s="283"/>
      <c r="D152" s="283"/>
      <c r="E152" s="283"/>
      <c r="F152" s="284"/>
    </row>
    <row r="153" spans="1:6" ht="15.6" x14ac:dyDescent="0.3">
      <c r="A153" s="283"/>
      <c r="B153" s="283"/>
      <c r="C153" s="283"/>
      <c r="D153" s="283"/>
      <c r="E153" s="283"/>
      <c r="F153" s="284"/>
    </row>
    <row r="154" spans="1:6" ht="15.6" x14ac:dyDescent="0.3">
      <c r="A154" s="283" t="s">
        <v>8</v>
      </c>
      <c r="B154" s="284"/>
      <c r="C154" s="283"/>
      <c r="E154" s="284"/>
      <c r="F154" s="284"/>
    </row>
    <row r="155" spans="1:6" ht="15" thickBot="1" x14ac:dyDescent="0.35"/>
    <row r="156" spans="1:6" ht="15" thickBot="1" x14ac:dyDescent="0.35">
      <c r="A156" s="581" t="s">
        <v>602</v>
      </c>
      <c r="B156" s="582"/>
      <c r="C156" s="582"/>
      <c r="D156" s="582"/>
      <c r="E156" s="583"/>
    </row>
    <row r="157" spans="1:6" x14ac:dyDescent="0.3">
      <c r="A157" s="467" t="s">
        <v>603</v>
      </c>
      <c r="B157" s="468"/>
      <c r="C157" s="468"/>
      <c r="D157" s="468"/>
      <c r="E157" s="469"/>
    </row>
    <row r="158" spans="1:6" ht="8.25" customHeight="1" x14ac:dyDescent="0.3">
      <c r="A158" s="470"/>
      <c r="E158" s="471"/>
    </row>
    <row r="159" spans="1:6" ht="8.25" customHeight="1" x14ac:dyDescent="0.3">
      <c r="A159" s="470"/>
      <c r="E159" s="471"/>
    </row>
    <row r="160" spans="1:6" ht="30" customHeight="1" x14ac:dyDescent="0.3">
      <c r="A160" s="575" t="s">
        <v>604</v>
      </c>
      <c r="B160" s="576"/>
      <c r="C160" s="576"/>
      <c r="D160" s="576"/>
      <c r="E160" s="577"/>
    </row>
    <row r="161" spans="1:5" ht="8.25" customHeight="1" x14ac:dyDescent="0.3">
      <c r="A161" s="472"/>
      <c r="B161" s="473"/>
      <c r="C161" s="473"/>
      <c r="D161" s="473"/>
      <c r="E161" s="474"/>
    </row>
    <row r="162" spans="1:5" ht="15" customHeight="1" x14ac:dyDescent="0.3">
      <c r="A162" s="575" t="s">
        <v>605</v>
      </c>
      <c r="B162" s="576"/>
      <c r="C162" s="576"/>
      <c r="D162" s="576"/>
      <c r="E162" s="577"/>
    </row>
    <row r="163" spans="1:5" ht="8.25" customHeight="1" x14ac:dyDescent="0.3">
      <c r="A163" s="472"/>
      <c r="B163" s="473"/>
      <c r="C163" s="473"/>
      <c r="D163" s="473"/>
      <c r="E163" s="474"/>
    </row>
    <row r="164" spans="1:5" ht="35.25" customHeight="1" x14ac:dyDescent="0.3">
      <c r="A164" s="575" t="s">
        <v>606</v>
      </c>
      <c r="B164" s="576"/>
      <c r="C164" s="576"/>
      <c r="D164" s="576"/>
      <c r="E164" s="577"/>
    </row>
    <row r="165" spans="1:5" ht="8.25" customHeight="1" x14ac:dyDescent="0.3">
      <c r="A165" s="472"/>
      <c r="B165" s="473"/>
      <c r="C165" s="473"/>
      <c r="D165" s="473"/>
      <c r="E165" s="474"/>
    </row>
    <row r="166" spans="1:5" x14ac:dyDescent="0.3">
      <c r="A166" s="575" t="s">
        <v>607</v>
      </c>
      <c r="B166" s="576"/>
      <c r="C166" s="576"/>
      <c r="D166" s="576"/>
      <c r="E166" s="577"/>
    </row>
    <row r="167" spans="1:5" ht="8.25" customHeight="1" x14ac:dyDescent="0.3">
      <c r="A167" s="472"/>
      <c r="B167" s="473"/>
      <c r="C167" s="473"/>
      <c r="D167" s="473"/>
      <c r="E167" s="474"/>
    </row>
    <row r="168" spans="1:5" ht="77.25" customHeight="1" x14ac:dyDescent="0.3">
      <c r="A168" s="575" t="s">
        <v>608</v>
      </c>
      <c r="B168" s="576"/>
      <c r="C168" s="576"/>
      <c r="D168" s="576"/>
      <c r="E168" s="577"/>
    </row>
    <row r="169" spans="1:5" ht="15" customHeight="1" x14ac:dyDescent="0.3">
      <c r="A169" s="578"/>
      <c r="B169" s="579"/>
      <c r="C169" s="579"/>
      <c r="D169" s="579"/>
      <c r="E169" s="580"/>
    </row>
    <row r="170" spans="1:5" x14ac:dyDescent="0.3">
      <c r="A170" s="475"/>
      <c r="B170" s="476"/>
      <c r="C170" s="476"/>
      <c r="D170" s="476"/>
      <c r="E170" s="477"/>
    </row>
    <row r="171" spans="1:5" ht="15.6" x14ac:dyDescent="0.3">
      <c r="A171" s="478" t="s">
        <v>609</v>
      </c>
      <c r="D171" s="476"/>
      <c r="E171" s="477"/>
    </row>
    <row r="172" spans="1:5" x14ac:dyDescent="0.3">
      <c r="A172" s="475"/>
      <c r="B172" s="476"/>
      <c r="C172" s="476"/>
      <c r="D172" s="476"/>
      <c r="E172" s="477"/>
    </row>
    <row r="173" spans="1:5" x14ac:dyDescent="0.3">
      <c r="A173" s="475"/>
      <c r="B173" s="476"/>
      <c r="C173" s="476"/>
      <c r="D173" s="476"/>
      <c r="E173" s="477"/>
    </row>
    <row r="174" spans="1:5" ht="15.6" x14ac:dyDescent="0.3">
      <c r="A174" s="479" t="s">
        <v>8</v>
      </c>
      <c r="B174" s="476"/>
      <c r="C174" s="476"/>
      <c r="D174" s="476"/>
      <c r="E174" s="477"/>
    </row>
    <row r="175" spans="1:5" ht="15" thickBot="1" x14ac:dyDescent="0.35">
      <c r="A175" s="480"/>
      <c r="B175" s="481"/>
      <c r="C175" s="481"/>
      <c r="D175" s="481"/>
      <c r="E175" s="482"/>
    </row>
  </sheetData>
  <sheetProtection algorithmName="SHA-512" hashValue="gg9D+x/y28PhgwgsX5Nbz+03B01YvMSDdyn70LmVlFSrNINhIOGwalHjqsKlccFkCoPWt58a1rFvafKmUvh1Fw==" saltValue="xGHe2bTC6KOBE1hVgtOTfw==" spinCount="100000" sheet="1" selectLockedCells="1"/>
  <mergeCells count="56">
    <mergeCell ref="A168:E168"/>
    <mergeCell ref="A169:E169"/>
    <mergeCell ref="A147:E147"/>
    <mergeCell ref="A156:E156"/>
    <mergeCell ref="A160:E160"/>
    <mergeCell ref="A162:E162"/>
    <mergeCell ref="A164:E164"/>
    <mergeCell ref="A166:E166"/>
    <mergeCell ref="A145:E145"/>
    <mergeCell ref="A116:E116"/>
    <mergeCell ref="A126:B126"/>
    <mergeCell ref="A127:B127"/>
    <mergeCell ref="A129:B129"/>
    <mergeCell ref="A130:B130"/>
    <mergeCell ref="A131:B131"/>
    <mergeCell ref="A135:E135"/>
    <mergeCell ref="A136:E139"/>
    <mergeCell ref="A142:E142"/>
    <mergeCell ref="A143:E143"/>
    <mergeCell ref="A144:E144"/>
    <mergeCell ref="A115:E115"/>
    <mergeCell ref="A59:E59"/>
    <mergeCell ref="A61:E61"/>
    <mergeCell ref="A63:E63"/>
    <mergeCell ref="A64:E65"/>
    <mergeCell ref="A67:E67"/>
    <mergeCell ref="A81:E81"/>
    <mergeCell ref="A82:E87"/>
    <mergeCell ref="A90:E90"/>
    <mergeCell ref="A91:E91"/>
    <mergeCell ref="A101:E101"/>
    <mergeCell ref="A102:E109"/>
    <mergeCell ref="A54:F55"/>
    <mergeCell ref="A32:B32"/>
    <mergeCell ref="A33:B33"/>
    <mergeCell ref="A34:B34"/>
    <mergeCell ref="A35:B35"/>
    <mergeCell ref="A36:B36"/>
    <mergeCell ref="A37:B37"/>
    <mergeCell ref="A38:B38"/>
    <mergeCell ref="A40:B40"/>
    <mergeCell ref="A41:B41"/>
    <mergeCell ref="A45:E45"/>
    <mergeCell ref="A46:E53"/>
    <mergeCell ref="A31:B31"/>
    <mergeCell ref="A1:E1"/>
    <mergeCell ref="A3:E3"/>
    <mergeCell ref="A5:E5"/>
    <mergeCell ref="A7:E7"/>
    <mergeCell ref="A9:E9"/>
    <mergeCell ref="A14:E14"/>
    <mergeCell ref="B15:C15"/>
    <mergeCell ref="B16:C16"/>
    <mergeCell ref="B17:C17"/>
    <mergeCell ref="A29:B29"/>
    <mergeCell ref="A30:B30"/>
  </mergeCells>
  <pageMargins left="0.31496062992125984" right="0" top="0.35433070866141736" bottom="0.35433070866141736" header="0.31496062992125984" footer="0.31496062992125984"/>
  <pageSetup paperSize="9" scale="91" orientation="landscape" r:id="rId1"/>
  <headerFooter>
    <oddFooter>&amp;L
DGAIC - Direction des finances communales&amp;R&amp;P/&amp;N</oddFooter>
  </headerFooter>
  <rowBreaks count="6" manualBreakCount="6">
    <brk id="13" max="16383" man="1"/>
    <brk id="43" max="16383" man="1"/>
    <brk id="69" max="16383" man="1"/>
    <brk id="93" max="16383" man="1"/>
    <brk id="110" max="16383" man="1"/>
    <brk id="1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indexed="41"/>
    <pageSetUpPr fitToPage="1"/>
  </sheetPr>
  <dimension ref="A1:AJ83"/>
  <sheetViews>
    <sheetView showOutlineSymbols="0" zoomScale="95" zoomScaleNormal="95" workbookViewId="0">
      <pane xSplit="1" ySplit="2" topLeftCell="B42" activePane="bottomRight" state="frozenSplit"/>
      <selection activeCell="A45" sqref="A45:E45"/>
      <selection pane="topRight" activeCell="A45" sqref="A45:E45"/>
      <selection pane="bottomLeft" activeCell="A45" sqref="A45:E45"/>
      <selection pane="bottomRight" activeCell="D67" sqref="D67"/>
    </sheetView>
  </sheetViews>
  <sheetFormatPr baseColWidth="10" defaultColWidth="6" defaultRowHeight="12.75" customHeight="1" x14ac:dyDescent="0.2"/>
  <cols>
    <col min="1" max="1" width="29.26953125" style="4" customWidth="1"/>
    <col min="2" max="2" width="16" style="5" customWidth="1"/>
    <col min="3" max="9" width="14.36328125" style="5" customWidth="1"/>
    <col min="10" max="10" width="16.08984375" style="5" bestFit="1" customWidth="1"/>
    <col min="11" max="11" width="4.08984375" style="5" customWidth="1"/>
    <col min="12" max="14" width="14.36328125" style="5" customWidth="1"/>
    <col min="15" max="15" width="12.6328125" style="6" customWidth="1"/>
    <col min="16" max="16" width="14.26953125" style="6" customWidth="1"/>
    <col min="17" max="17" width="18.453125" style="6" customWidth="1"/>
    <col min="18" max="35" width="6" style="6" customWidth="1"/>
    <col min="36" max="16384" width="6" style="5"/>
  </cols>
  <sheetData>
    <row r="1" spans="1:36" ht="12.75" customHeight="1" x14ac:dyDescent="0.2">
      <c r="G1" s="584" t="s">
        <v>9</v>
      </c>
      <c r="H1" s="585"/>
      <c r="I1" s="585"/>
      <c r="J1" s="585"/>
      <c r="K1" s="585"/>
      <c r="L1" s="585"/>
      <c r="M1" s="585"/>
      <c r="N1" s="586"/>
    </row>
    <row r="2" spans="1:36" ht="30" customHeight="1" x14ac:dyDescent="0.2">
      <c r="A2" s="7" t="str">
        <f>Données!A7</f>
        <v>Commune ?</v>
      </c>
      <c r="B2" s="8"/>
      <c r="C2" s="9" t="s">
        <v>10</v>
      </c>
      <c r="D2" s="9" t="s">
        <v>38</v>
      </c>
      <c r="E2" s="9" t="s">
        <v>50</v>
      </c>
      <c r="F2" s="9" t="s">
        <v>64</v>
      </c>
      <c r="G2" s="9" t="s">
        <v>52</v>
      </c>
      <c r="H2" s="9" t="s">
        <v>53</v>
      </c>
      <c r="I2" s="9" t="s">
        <v>63</v>
      </c>
      <c r="J2" s="9" t="s">
        <v>61</v>
      </c>
      <c r="K2" s="9"/>
      <c r="L2" s="9" t="s">
        <v>76</v>
      </c>
      <c r="M2" s="10" t="s">
        <v>77</v>
      </c>
      <c r="N2" s="10"/>
      <c r="AJ2" s="6"/>
    </row>
    <row r="3" spans="1:36" ht="12" customHeight="1" x14ac:dyDescent="0.2">
      <c r="A3" s="11" t="s">
        <v>36</v>
      </c>
      <c r="B3" s="12">
        <f>IF(Données!D8="",Données!B8,Données!D8)</f>
        <v>0</v>
      </c>
      <c r="C3" s="9"/>
      <c r="D3" s="9"/>
      <c r="E3" s="9"/>
      <c r="F3" s="9"/>
      <c r="G3" s="9"/>
      <c r="H3" s="9"/>
      <c r="I3" s="9"/>
      <c r="J3" s="9"/>
      <c r="K3" s="9"/>
      <c r="L3" s="9"/>
      <c r="M3" s="13" t="s">
        <v>86</v>
      </c>
      <c r="N3" s="14">
        <f>'Dépenses thématiques'!C132</f>
        <v>0</v>
      </c>
      <c r="AJ3" s="6"/>
    </row>
    <row r="4" spans="1:36" ht="12" customHeight="1" x14ac:dyDescent="0.2">
      <c r="A4" s="15" t="s">
        <v>11</v>
      </c>
      <c r="B4" s="12">
        <f>IF(Données!D9="",Données!B9,Données!D9)</f>
        <v>0</v>
      </c>
      <c r="C4" s="8"/>
      <c r="D4" s="8"/>
      <c r="E4" s="8"/>
      <c r="F4" s="8"/>
      <c r="G4" s="16"/>
      <c r="H4" s="17"/>
      <c r="I4" s="8"/>
      <c r="J4" s="8"/>
      <c r="K4" s="8"/>
      <c r="L4" s="8"/>
      <c r="M4" s="8" t="s">
        <v>87</v>
      </c>
      <c r="N4" s="8" t="e">
        <f>C47</f>
        <v>#DIV/0!</v>
      </c>
      <c r="AJ4" s="6"/>
    </row>
    <row r="5" spans="1:36" ht="12" customHeight="1" x14ac:dyDescent="0.2">
      <c r="A5" s="18" t="s">
        <v>35</v>
      </c>
      <c r="B5" s="12">
        <f>IF(Données!D10="",Données!B10,Données!D10)</f>
        <v>0</v>
      </c>
      <c r="C5" s="20"/>
      <c r="D5" s="20"/>
      <c r="E5" s="20"/>
      <c r="F5" s="20"/>
      <c r="G5" s="19"/>
      <c r="H5" s="21"/>
      <c r="I5" s="20"/>
      <c r="J5" s="20"/>
      <c r="K5" s="20"/>
      <c r="L5" s="20"/>
      <c r="M5" s="20" t="s">
        <v>89</v>
      </c>
      <c r="N5" s="20" t="e">
        <f>N3-N4</f>
        <v>#DIV/0!</v>
      </c>
      <c r="AJ5" s="6"/>
    </row>
    <row r="6" spans="1:36" ht="11.4" x14ac:dyDescent="0.2">
      <c r="A6" s="23"/>
      <c r="B6" s="24"/>
      <c r="C6" s="20"/>
      <c r="D6" s="20"/>
      <c r="E6" s="20"/>
      <c r="F6" s="20"/>
      <c r="G6" s="20"/>
      <c r="H6" s="20"/>
      <c r="I6" s="20"/>
      <c r="J6" s="20"/>
      <c r="K6" s="20"/>
      <c r="L6" s="20"/>
      <c r="M6" s="20"/>
      <c r="N6" s="20"/>
      <c r="AJ6" s="6"/>
    </row>
    <row r="7" spans="1:36" ht="11.4" x14ac:dyDescent="0.2">
      <c r="A7" s="25" t="s">
        <v>12</v>
      </c>
      <c r="B7" s="26" t="e">
        <f>((Données!B12)/Données!$B$8/Données!$B$9)*$B$3*$B$4</f>
        <v>#DIV/0!</v>
      </c>
      <c r="C7" s="20" t="e">
        <f>B7</f>
        <v>#DIV/0!</v>
      </c>
      <c r="D7" s="20"/>
      <c r="E7" s="20"/>
      <c r="F7" s="20"/>
      <c r="G7" s="20"/>
      <c r="H7" s="20"/>
      <c r="I7" s="20"/>
      <c r="J7" s="20"/>
      <c r="K7" s="20"/>
      <c r="L7" s="20"/>
      <c r="M7" s="27" t="s">
        <v>70</v>
      </c>
      <c r="N7" s="20">
        <f>'Dépenses thématiques'!C42+'Dépenses thématiques'!C78+'Dépenses thématiques'!C98</f>
        <v>0</v>
      </c>
      <c r="AJ7" s="6"/>
    </row>
    <row r="8" spans="1:36" ht="11.4" x14ac:dyDescent="0.2">
      <c r="A8" s="25" t="s">
        <v>13</v>
      </c>
      <c r="B8" s="26" t="e">
        <f>((Données!B13)/Données!$B$8/Données!$B$9)*$B$3*$B$4</f>
        <v>#DIV/0!</v>
      </c>
      <c r="C8" s="20" t="e">
        <f>B8</f>
        <v>#DIV/0!</v>
      </c>
      <c r="D8" s="20"/>
      <c r="E8" s="20"/>
      <c r="F8" s="20"/>
      <c r="G8" s="20"/>
      <c r="H8" s="20"/>
      <c r="I8" s="20"/>
      <c r="J8" s="20"/>
      <c r="K8" s="20"/>
      <c r="L8" s="20"/>
      <c r="M8" s="20" t="s">
        <v>90</v>
      </c>
      <c r="N8" s="20" t="e">
        <f>C47*8</f>
        <v>#DIV/0!</v>
      </c>
      <c r="AJ8" s="6"/>
    </row>
    <row r="9" spans="1:36" ht="11.4" x14ac:dyDescent="0.2">
      <c r="A9" s="25" t="s">
        <v>14</v>
      </c>
      <c r="B9" s="26">
        <f>Données!B14</f>
        <v>0</v>
      </c>
      <c r="C9" s="20">
        <f>B9</f>
        <v>0</v>
      </c>
      <c r="D9" s="20"/>
      <c r="E9" s="20"/>
      <c r="F9" s="20"/>
      <c r="G9" s="20"/>
      <c r="H9" s="20"/>
      <c r="I9" s="20"/>
      <c r="J9" s="20"/>
      <c r="K9" s="20"/>
      <c r="L9" s="20"/>
      <c r="M9" s="20" t="s">
        <v>91</v>
      </c>
      <c r="N9" s="20" t="e">
        <f>N7-N8</f>
        <v>#DIV/0!</v>
      </c>
      <c r="AJ9" s="6"/>
    </row>
    <row r="10" spans="1:36" ht="11.4" x14ac:dyDescent="0.2">
      <c r="A10" s="25" t="s">
        <v>15</v>
      </c>
      <c r="B10" s="26">
        <f>Données!B15</f>
        <v>0</v>
      </c>
      <c r="C10" s="20">
        <f>B10</f>
        <v>0</v>
      </c>
      <c r="D10" s="20"/>
      <c r="E10" s="20"/>
      <c r="F10" s="20"/>
      <c r="G10" s="20"/>
      <c r="H10" s="20"/>
      <c r="I10" s="20"/>
      <c r="J10" s="20"/>
      <c r="K10" s="20"/>
      <c r="L10" s="20"/>
      <c r="M10" s="20"/>
      <c r="N10" s="20"/>
      <c r="AJ10" s="6"/>
    </row>
    <row r="11" spans="1:36" ht="11.4" x14ac:dyDescent="0.2">
      <c r="A11" s="25" t="s">
        <v>16</v>
      </c>
      <c r="B11" s="26" t="e">
        <f>((Données!B16)/Données!$B$8/Données!$B$9)*$B$3*$B$4</f>
        <v>#DIV/0!</v>
      </c>
      <c r="C11" s="20" t="e">
        <f t="shared" ref="C11:C19" si="0">B11</f>
        <v>#DIV/0!</v>
      </c>
      <c r="D11" s="20"/>
      <c r="E11" s="20"/>
      <c r="F11" s="20"/>
      <c r="G11" s="20"/>
      <c r="H11" s="20"/>
      <c r="I11" s="20"/>
      <c r="J11" s="20"/>
      <c r="K11" s="20"/>
      <c r="L11" s="20"/>
      <c r="M11" s="20" t="s">
        <v>108</v>
      </c>
      <c r="N11" s="20"/>
      <c r="AJ11" s="6"/>
    </row>
    <row r="12" spans="1:36" ht="11.4" x14ac:dyDescent="0.2">
      <c r="A12" s="25" t="s">
        <v>17</v>
      </c>
      <c r="B12" s="26" t="e">
        <f>((Données!B17)/Données!$B$8/Données!$B$9)*$B$3*$B$4</f>
        <v>#DIV/0!</v>
      </c>
      <c r="C12" s="20" t="e">
        <f t="shared" si="0"/>
        <v>#DIV/0!</v>
      </c>
      <c r="D12" s="20"/>
      <c r="E12" s="20"/>
      <c r="F12" s="20"/>
      <c r="G12" s="20"/>
      <c r="H12" s="20"/>
      <c r="I12" s="20"/>
      <c r="J12" s="20"/>
      <c r="K12" s="20"/>
      <c r="L12" s="20"/>
      <c r="M12" s="20"/>
      <c r="N12" s="20"/>
      <c r="AJ12" s="6"/>
    </row>
    <row r="13" spans="1:36" ht="11.4" x14ac:dyDescent="0.2">
      <c r="A13" s="287" t="s">
        <v>612</v>
      </c>
      <c r="B13" s="26">
        <f>Données!B18</f>
        <v>0</v>
      </c>
      <c r="C13" s="20">
        <f t="shared" si="0"/>
        <v>0</v>
      </c>
      <c r="D13" s="20"/>
      <c r="E13" s="20"/>
      <c r="F13" s="20"/>
      <c r="G13" s="20"/>
      <c r="H13" s="20"/>
      <c r="I13" s="20"/>
      <c r="J13" s="20"/>
      <c r="K13" s="20"/>
      <c r="L13" s="20"/>
      <c r="M13" s="20"/>
      <c r="N13" s="20"/>
      <c r="AJ13" s="6"/>
    </row>
    <row r="14" spans="1:36" ht="11.4" x14ac:dyDescent="0.2">
      <c r="A14" s="25" t="s">
        <v>18</v>
      </c>
      <c r="B14" s="26" t="e">
        <f>((Données!B19)/Données!$B$8/Données!$B$9)*$B$3*$B$4</f>
        <v>#DIV/0!</v>
      </c>
      <c r="C14" s="20" t="e">
        <f t="shared" si="0"/>
        <v>#DIV/0!</v>
      </c>
      <c r="D14" s="20"/>
      <c r="E14" s="20"/>
      <c r="F14" s="20"/>
      <c r="G14" s="20"/>
      <c r="H14" s="20"/>
      <c r="I14" s="20"/>
      <c r="J14" s="20"/>
      <c r="K14" s="20"/>
      <c r="L14" s="20"/>
      <c r="M14" s="22" t="s">
        <v>71</v>
      </c>
      <c r="N14" s="22" t="e">
        <f>IF(N5*Données!B47&gt;0,N5*Données!B47,0)</f>
        <v>#DIV/0!</v>
      </c>
      <c r="AJ14" s="6"/>
    </row>
    <row r="15" spans="1:36" ht="11.4" x14ac:dyDescent="0.2">
      <c r="A15" s="25" t="s">
        <v>19</v>
      </c>
      <c r="B15" s="26">
        <f>Données!B20</f>
        <v>0</v>
      </c>
      <c r="C15" s="20">
        <f t="shared" si="0"/>
        <v>0</v>
      </c>
      <c r="D15" s="20"/>
      <c r="E15" s="20"/>
      <c r="F15" s="20"/>
      <c r="G15" s="20"/>
      <c r="H15" s="20"/>
      <c r="I15" s="20"/>
      <c r="J15" s="20"/>
      <c r="K15" s="20"/>
      <c r="L15" s="20"/>
      <c r="M15" s="22" t="s">
        <v>70</v>
      </c>
      <c r="N15" s="22" t="e">
        <f>IF(N9*Données!B47&gt;0,N9*Données!B47,0)</f>
        <v>#DIV/0!</v>
      </c>
      <c r="AJ15" s="6"/>
    </row>
    <row r="16" spans="1:36" ht="11.4" x14ac:dyDescent="0.2">
      <c r="A16" s="25" t="s">
        <v>20</v>
      </c>
      <c r="B16" s="26">
        <f>Données!B21</f>
        <v>0</v>
      </c>
      <c r="C16" s="20">
        <f t="shared" si="0"/>
        <v>0</v>
      </c>
      <c r="D16" s="20"/>
      <c r="E16" s="20"/>
      <c r="F16" s="20"/>
      <c r="G16" s="20"/>
      <c r="H16" s="20"/>
      <c r="I16" s="20"/>
      <c r="J16" s="20"/>
      <c r="K16" s="20"/>
      <c r="L16" s="20"/>
      <c r="M16" s="20"/>
      <c r="N16" s="20"/>
      <c r="AJ16" s="6"/>
    </row>
    <row r="17" spans="1:36" ht="11.4" x14ac:dyDescent="0.2">
      <c r="A17" s="25" t="s">
        <v>21</v>
      </c>
      <c r="B17" s="26">
        <f>Données!B22</f>
        <v>0</v>
      </c>
      <c r="C17" s="20">
        <f t="shared" si="0"/>
        <v>0</v>
      </c>
      <c r="D17" s="20"/>
      <c r="E17" s="20"/>
      <c r="F17" s="20"/>
      <c r="G17" s="20"/>
      <c r="H17" s="20"/>
      <c r="I17" s="20"/>
      <c r="J17" s="20"/>
      <c r="K17" s="20"/>
      <c r="L17" s="20"/>
      <c r="M17" s="20"/>
      <c r="N17" s="20"/>
      <c r="AJ17" s="6"/>
    </row>
    <row r="18" spans="1:36" ht="11.4" x14ac:dyDescent="0.2">
      <c r="A18" s="25" t="s">
        <v>22</v>
      </c>
      <c r="B18" s="26" t="e">
        <f>(Données!B23/Données!B10)*B5</f>
        <v>#DIV/0!</v>
      </c>
      <c r="C18" s="20" t="e">
        <f>B18/B5%</f>
        <v>#DIV/0!</v>
      </c>
      <c r="D18" s="20"/>
      <c r="E18" s="20"/>
      <c r="F18" s="20"/>
      <c r="G18" s="20"/>
      <c r="H18" s="20"/>
      <c r="I18" s="20"/>
      <c r="J18" s="20"/>
      <c r="K18" s="20"/>
      <c r="L18" s="20"/>
      <c r="M18" s="20"/>
      <c r="N18" s="20"/>
      <c r="AJ18" s="6"/>
    </row>
    <row r="19" spans="1:36" ht="11.4" x14ac:dyDescent="0.2">
      <c r="A19" s="25" t="s">
        <v>145</v>
      </c>
      <c r="B19" s="26">
        <f>SUM(Données!B24:B26)</f>
        <v>0</v>
      </c>
      <c r="C19" s="20">
        <f t="shared" si="0"/>
        <v>0</v>
      </c>
      <c r="D19" s="20"/>
      <c r="E19" s="20"/>
      <c r="F19" s="20"/>
      <c r="G19" s="20"/>
      <c r="H19" s="20"/>
      <c r="I19" s="20"/>
      <c r="J19" s="20"/>
      <c r="K19" s="20"/>
      <c r="L19" s="20"/>
      <c r="M19" s="20"/>
      <c r="N19" s="20"/>
      <c r="AJ19" s="6"/>
    </row>
    <row r="20" spans="1:36" ht="15" customHeight="1" x14ac:dyDescent="0.2">
      <c r="A20" s="25" t="s">
        <v>30</v>
      </c>
      <c r="B20" s="26">
        <f>Données!B27</f>
        <v>0</v>
      </c>
      <c r="C20" s="20">
        <f>B20</f>
        <v>0</v>
      </c>
      <c r="D20" s="20"/>
      <c r="E20" s="20"/>
      <c r="F20" s="20"/>
      <c r="G20" s="20"/>
      <c r="H20" s="20"/>
      <c r="I20" s="20"/>
      <c r="J20" s="20"/>
      <c r="K20" s="20"/>
      <c r="L20" s="20"/>
      <c r="M20" s="20"/>
      <c r="N20" s="20"/>
      <c r="AJ20" s="6"/>
    </row>
    <row r="21" spans="1:36" ht="11.25" customHeight="1" x14ac:dyDescent="0.2">
      <c r="A21" s="25" t="s">
        <v>151</v>
      </c>
      <c r="B21" s="26">
        <f>Données!B28</f>
        <v>0</v>
      </c>
      <c r="C21" s="20">
        <f>B21</f>
        <v>0</v>
      </c>
      <c r="D21" s="20"/>
      <c r="E21" s="20"/>
      <c r="F21" s="20"/>
      <c r="G21" s="20"/>
      <c r="H21" s="20"/>
      <c r="I21" s="20"/>
      <c r="J21" s="20"/>
      <c r="K21" s="20"/>
      <c r="L21" s="20"/>
      <c r="M21" s="20"/>
      <c r="N21" s="20"/>
      <c r="AJ21" s="6"/>
    </row>
    <row r="22" spans="1:36" ht="11.4" x14ac:dyDescent="0.2">
      <c r="A22" s="25" t="s">
        <v>150</v>
      </c>
      <c r="B22" s="26">
        <f>Données!B29</f>
        <v>0</v>
      </c>
      <c r="C22" s="20">
        <f>B22</f>
        <v>0</v>
      </c>
      <c r="D22" s="20"/>
      <c r="E22" s="20"/>
      <c r="F22" s="20"/>
      <c r="G22" s="20"/>
      <c r="H22" s="20"/>
      <c r="I22" s="20"/>
      <c r="J22" s="20"/>
      <c r="K22" s="20"/>
      <c r="L22" s="20"/>
      <c r="M22" s="20"/>
      <c r="N22" s="20"/>
      <c r="AJ22" s="6"/>
    </row>
    <row r="23" spans="1:36" ht="11.4" x14ac:dyDescent="0.2">
      <c r="A23" s="25" t="s">
        <v>45</v>
      </c>
      <c r="B23" s="20"/>
      <c r="C23" s="20"/>
      <c r="D23" s="20" t="e">
        <f>(M58*B4)*B3</f>
        <v>#DIV/0!</v>
      </c>
      <c r="E23" s="20" t="e">
        <f>D23</f>
        <v>#DIV/0!</v>
      </c>
      <c r="F23" s="20"/>
      <c r="G23" s="20"/>
      <c r="H23" s="20"/>
      <c r="I23" s="20"/>
      <c r="J23" s="20"/>
      <c r="K23" s="20"/>
      <c r="L23" s="20"/>
      <c r="M23" s="20"/>
      <c r="N23" s="20"/>
      <c r="AJ23" s="6"/>
    </row>
    <row r="24" spans="1:36" ht="11.4" x14ac:dyDescent="0.2">
      <c r="A24" s="25"/>
      <c r="B24" s="20"/>
      <c r="C24" s="20"/>
      <c r="D24" s="20"/>
      <c r="E24" s="20"/>
      <c r="F24" s="20"/>
      <c r="G24" s="20"/>
      <c r="H24" s="20"/>
      <c r="I24" s="20"/>
      <c r="J24" s="20"/>
      <c r="K24" s="20"/>
      <c r="L24" s="20"/>
      <c r="M24" s="20"/>
      <c r="N24" s="20"/>
      <c r="AJ24" s="6"/>
    </row>
    <row r="25" spans="1:36" ht="11.4" x14ac:dyDescent="0.2">
      <c r="A25" s="28" t="s">
        <v>23</v>
      </c>
      <c r="B25" s="29" t="e">
        <f>SUM(B7:B23)</f>
        <v>#DIV/0!</v>
      </c>
      <c r="C25" s="29" t="e">
        <f>SUM(C7:C23)</f>
        <v>#DIV/0!</v>
      </c>
      <c r="D25" s="29" t="e">
        <f>SUM(D7:D23)</f>
        <v>#DIV/0!</v>
      </c>
      <c r="E25" s="30"/>
      <c r="F25" s="30"/>
      <c r="G25" s="30"/>
      <c r="H25" s="30"/>
      <c r="I25" s="30"/>
      <c r="J25" s="30"/>
      <c r="K25" s="30"/>
      <c r="L25" s="30"/>
      <c r="M25" s="30"/>
      <c r="N25" s="30"/>
      <c r="AJ25" s="6"/>
    </row>
    <row r="26" spans="1:36" ht="11.4" x14ac:dyDescent="0.2">
      <c r="A26" s="25"/>
      <c r="B26" s="20"/>
      <c r="C26" s="20"/>
      <c r="D26" s="20"/>
      <c r="E26" s="20"/>
      <c r="F26" s="20"/>
      <c r="G26" s="20"/>
      <c r="H26" s="20"/>
      <c r="I26" s="20"/>
      <c r="J26" s="20"/>
      <c r="K26" s="20"/>
      <c r="L26" s="20"/>
      <c r="M26" s="20"/>
      <c r="N26" s="20"/>
      <c r="AJ26" s="6"/>
    </row>
    <row r="27" spans="1:36" ht="11.4" x14ac:dyDescent="0.2">
      <c r="A27" s="25" t="s">
        <v>24</v>
      </c>
      <c r="B27" s="26">
        <f>Données!D31</f>
        <v>0</v>
      </c>
      <c r="C27" s="20"/>
      <c r="D27" s="20"/>
      <c r="E27" s="20">
        <f>B27*C60</f>
        <v>0</v>
      </c>
      <c r="F27" s="20"/>
      <c r="G27" s="20"/>
      <c r="H27" s="20"/>
      <c r="I27" s="20"/>
      <c r="J27" s="20"/>
      <c r="K27" s="20"/>
      <c r="L27" s="20"/>
      <c r="M27" s="20"/>
      <c r="N27" s="20"/>
      <c r="AJ27" s="6"/>
    </row>
    <row r="28" spans="1:36" ht="11.4" x14ac:dyDescent="0.2">
      <c r="A28" s="25" t="s">
        <v>25</v>
      </c>
      <c r="B28" s="26">
        <f>Données!D32</f>
        <v>0</v>
      </c>
      <c r="C28" s="20"/>
      <c r="D28" s="20"/>
      <c r="E28" s="20">
        <f>B28*F61</f>
        <v>0</v>
      </c>
      <c r="F28" s="20"/>
      <c r="G28" s="20"/>
      <c r="H28" s="20"/>
      <c r="I28" s="20"/>
      <c r="J28" s="20"/>
      <c r="K28" s="20"/>
      <c r="L28" s="20"/>
      <c r="M28" s="20"/>
      <c r="N28" s="20"/>
      <c r="AJ28" s="6"/>
    </row>
    <row r="29" spans="1:36" ht="11.4" x14ac:dyDescent="0.2">
      <c r="A29" s="25" t="s">
        <v>27</v>
      </c>
      <c r="B29" s="26">
        <f>Données!D33</f>
        <v>0</v>
      </c>
      <c r="C29" s="20"/>
      <c r="D29" s="20"/>
      <c r="E29" s="20">
        <f>B29*C61</f>
        <v>0</v>
      </c>
      <c r="F29" s="20"/>
      <c r="G29" s="20"/>
      <c r="H29" s="20"/>
      <c r="I29" s="20"/>
      <c r="J29" s="20"/>
      <c r="K29" s="20"/>
      <c r="L29" s="20"/>
      <c r="M29" s="20"/>
      <c r="N29" s="20"/>
      <c r="AJ29" s="6"/>
    </row>
    <row r="30" spans="1:36" ht="11.4" x14ac:dyDescent="0.2">
      <c r="A30" s="25" t="s">
        <v>26</v>
      </c>
      <c r="B30" s="26">
        <f>Données!D34</f>
        <v>0</v>
      </c>
      <c r="C30" s="20"/>
      <c r="D30" s="20"/>
      <c r="E30" s="20">
        <f>B30*F60</f>
        <v>0</v>
      </c>
      <c r="F30" s="20"/>
      <c r="G30" s="20"/>
      <c r="H30" s="20"/>
      <c r="I30" s="20"/>
      <c r="J30" s="20"/>
      <c r="K30" s="20"/>
      <c r="L30" s="20"/>
      <c r="M30" s="20"/>
      <c r="N30" s="20"/>
      <c r="AJ30" s="6"/>
    </row>
    <row r="31" spans="1:36" ht="11.4" x14ac:dyDescent="0.2">
      <c r="A31" s="25"/>
      <c r="B31" s="26"/>
      <c r="C31" s="20"/>
      <c r="D31" s="20"/>
      <c r="E31" s="20"/>
      <c r="F31" s="20"/>
      <c r="G31" s="20"/>
      <c r="H31" s="20"/>
      <c r="I31" s="20"/>
      <c r="J31" s="20"/>
      <c r="K31" s="20"/>
      <c r="L31" s="20"/>
      <c r="M31" s="20"/>
      <c r="N31" s="20"/>
      <c r="AJ31" s="6"/>
    </row>
    <row r="32" spans="1:36" ht="11.4" x14ac:dyDescent="0.2">
      <c r="A32" s="25"/>
      <c r="B32" s="20"/>
      <c r="C32" s="20"/>
      <c r="D32" s="20"/>
      <c r="E32" s="20"/>
      <c r="F32" s="20"/>
      <c r="G32" s="20"/>
      <c r="H32" s="20"/>
      <c r="I32" s="20"/>
      <c r="J32" s="20"/>
      <c r="K32" s="20"/>
      <c r="L32" s="20"/>
      <c r="M32" s="20"/>
      <c r="N32" s="20"/>
      <c r="AJ32" s="6"/>
    </row>
    <row r="33" spans="1:36" ht="11.4" x14ac:dyDescent="0.2">
      <c r="A33" s="31" t="s">
        <v>28</v>
      </c>
      <c r="B33" s="29">
        <f>SUM(B27:B31)</f>
        <v>0</v>
      </c>
      <c r="C33" s="30"/>
      <c r="D33" s="30"/>
      <c r="E33" s="30"/>
      <c r="F33" s="30"/>
      <c r="G33" s="30"/>
      <c r="H33" s="30"/>
      <c r="I33" s="30"/>
      <c r="J33" s="30"/>
      <c r="K33" s="30"/>
      <c r="L33" s="30"/>
      <c r="M33" s="30"/>
      <c r="N33" s="30"/>
      <c r="AJ33" s="6"/>
    </row>
    <row r="34" spans="1:36" ht="11.4" x14ac:dyDescent="0.2">
      <c r="A34" s="25"/>
      <c r="B34" s="20"/>
      <c r="C34" s="20"/>
      <c r="D34" s="20"/>
      <c r="E34" s="20"/>
      <c r="F34" s="20"/>
      <c r="G34" s="20"/>
      <c r="H34" s="20"/>
      <c r="I34" s="20"/>
      <c r="J34" s="20"/>
      <c r="K34" s="20"/>
      <c r="L34" s="20"/>
      <c r="M34" s="20"/>
      <c r="N34" s="20"/>
      <c r="AJ34" s="6"/>
    </row>
    <row r="35" spans="1:36" ht="11.4" x14ac:dyDescent="0.2">
      <c r="A35" s="23" t="s">
        <v>51</v>
      </c>
      <c r="B35" s="32">
        <f>Données!B36</f>
        <v>12.696760564677154</v>
      </c>
      <c r="C35" s="20"/>
      <c r="D35" s="20"/>
      <c r="E35" s="20" t="e">
        <f>C47*B35</f>
        <v>#DIV/0!</v>
      </c>
      <c r="F35" s="20"/>
      <c r="G35" s="20"/>
      <c r="H35" s="20"/>
      <c r="I35" s="20"/>
      <c r="J35" s="20"/>
      <c r="K35" s="20"/>
      <c r="L35" s="20"/>
      <c r="M35" s="20"/>
      <c r="N35" s="20"/>
      <c r="AJ35" s="6"/>
    </row>
    <row r="36" spans="1:36" ht="11.4" x14ac:dyDescent="0.2">
      <c r="A36" s="23" t="s">
        <v>60</v>
      </c>
      <c r="B36" s="33">
        <f>Données!B37</f>
        <v>19.27808627509641</v>
      </c>
      <c r="C36" s="20"/>
      <c r="D36" s="20"/>
      <c r="E36" s="20"/>
      <c r="F36" s="20" t="e">
        <f>C47*B36</f>
        <v>#DIV/0!</v>
      </c>
      <c r="H36" s="20"/>
      <c r="I36" s="20" t="e">
        <f>C79*C47</f>
        <v>#DIV/0!</v>
      </c>
      <c r="J36" s="20"/>
      <c r="K36" s="20"/>
      <c r="L36" s="20"/>
      <c r="M36" s="20"/>
      <c r="N36" s="20"/>
      <c r="AJ36" s="6"/>
    </row>
    <row r="37" spans="1:36" ht="11.4" x14ac:dyDescent="0.2">
      <c r="A37" s="23"/>
      <c r="B37" s="33"/>
      <c r="C37" s="20"/>
      <c r="D37" s="20"/>
      <c r="E37" s="20"/>
      <c r="F37" s="20"/>
      <c r="G37" s="20"/>
      <c r="H37" s="122"/>
      <c r="I37" s="20"/>
      <c r="J37" s="20"/>
      <c r="K37" s="20"/>
      <c r="L37" s="20"/>
      <c r="M37" s="20"/>
      <c r="N37" s="20"/>
      <c r="AJ37" s="6"/>
    </row>
    <row r="38" spans="1:36" ht="11.4" x14ac:dyDescent="0.2">
      <c r="A38" s="23" t="s">
        <v>62</v>
      </c>
      <c r="B38" s="32"/>
      <c r="C38" s="20"/>
      <c r="D38" s="20"/>
      <c r="E38" s="20"/>
      <c r="F38" s="20"/>
      <c r="G38" s="20" t="e">
        <f>IF(C49&lt;C50,-(C49-C50)*((B3*B4)*Données!B40),0)/Données!B43*B4</f>
        <v>#DIV/0!</v>
      </c>
      <c r="H38" s="122">
        <f>J68</f>
        <v>0</v>
      </c>
      <c r="I38" s="20"/>
      <c r="J38" s="20" t="e">
        <f>G83*C47</f>
        <v>#DIV/0!</v>
      </c>
      <c r="K38" s="20"/>
      <c r="L38" s="20" t="e">
        <f>IF(L76&gt;L77,L78*C47,0)</f>
        <v>#DIV/0!</v>
      </c>
      <c r="M38" s="20"/>
      <c r="N38" s="20"/>
      <c r="AJ38" s="6"/>
    </row>
    <row r="39" spans="1:36" ht="11.4" x14ac:dyDescent="0.2">
      <c r="A39" s="23" t="s">
        <v>52</v>
      </c>
      <c r="B39" s="34">
        <f>Données!B40</f>
        <v>0.27</v>
      </c>
      <c r="C39" s="20"/>
      <c r="D39" s="20"/>
      <c r="E39" s="20"/>
      <c r="F39" s="20"/>
      <c r="G39" s="20"/>
      <c r="I39" s="20"/>
      <c r="J39" s="20"/>
      <c r="K39" s="20"/>
      <c r="L39" s="20"/>
      <c r="M39" s="20"/>
      <c r="N39" s="20"/>
      <c r="AJ39" s="6"/>
    </row>
    <row r="40" spans="1:36" ht="11.4" x14ac:dyDescent="0.2">
      <c r="A40" s="28"/>
      <c r="B40" s="29"/>
      <c r="C40" s="30"/>
      <c r="D40" s="30"/>
      <c r="E40" s="30"/>
      <c r="F40" s="30"/>
      <c r="G40" s="30"/>
      <c r="H40" s="30"/>
      <c r="I40" s="30"/>
      <c r="J40" s="30"/>
      <c r="K40" s="30"/>
      <c r="L40" s="30"/>
      <c r="M40" s="30"/>
      <c r="N40" s="30"/>
      <c r="AJ40" s="6"/>
    </row>
    <row r="41" spans="1:36" ht="11.4" x14ac:dyDescent="0.2">
      <c r="A41" s="25"/>
      <c r="B41" s="20"/>
      <c r="C41" s="20"/>
      <c r="D41" s="20"/>
      <c r="E41" s="20"/>
      <c r="F41" s="20"/>
      <c r="G41" s="20"/>
      <c r="H41" s="20"/>
      <c r="I41" s="20"/>
      <c r="J41" s="20"/>
      <c r="K41" s="20"/>
      <c r="L41" s="20"/>
      <c r="M41" s="20"/>
      <c r="N41" s="20"/>
      <c r="AJ41" s="6"/>
    </row>
    <row r="42" spans="1:36" ht="11.4" x14ac:dyDescent="0.2">
      <c r="A42" s="25" t="s">
        <v>29</v>
      </c>
      <c r="B42" s="26"/>
      <c r="C42" s="20"/>
      <c r="D42" s="20"/>
      <c r="E42" s="20"/>
      <c r="F42" s="20"/>
      <c r="G42" s="20"/>
      <c r="H42" s="20"/>
      <c r="I42" s="20"/>
      <c r="J42" s="20"/>
      <c r="K42" s="20"/>
      <c r="L42" s="20"/>
      <c r="M42" s="20"/>
      <c r="N42" s="20"/>
      <c r="AJ42" s="6"/>
    </row>
    <row r="43" spans="1:36" ht="11.4" x14ac:dyDescent="0.2">
      <c r="A43" s="25"/>
      <c r="B43" s="26"/>
      <c r="C43" s="20"/>
      <c r="D43" s="20"/>
      <c r="E43" s="20"/>
      <c r="F43" s="20"/>
      <c r="G43" s="20"/>
      <c r="H43" s="20"/>
      <c r="I43" s="20"/>
      <c r="J43" s="20"/>
      <c r="K43" s="20"/>
      <c r="L43" s="20"/>
      <c r="M43" s="20"/>
      <c r="N43" s="20"/>
      <c r="AJ43" s="6"/>
    </row>
    <row r="44" spans="1:36" ht="12" customHeight="1" x14ac:dyDescent="0.2">
      <c r="A44" s="35" t="s">
        <v>31</v>
      </c>
      <c r="B44" s="36" t="e">
        <f>B25+B33+B40+B20+B22</f>
        <v>#DIV/0!</v>
      </c>
      <c r="C44" s="36" t="e">
        <f>SUM(C7:C24)</f>
        <v>#DIV/0!</v>
      </c>
      <c r="D44" s="36" t="e">
        <f>D25+SUM(D27:D31)</f>
        <v>#DIV/0!</v>
      </c>
      <c r="E44" s="36" t="e">
        <f t="shared" ref="E44:I44" si="1">SUM(E7:E42)</f>
        <v>#DIV/0!</v>
      </c>
      <c r="F44" s="36" t="e">
        <f t="shared" si="1"/>
        <v>#DIV/0!</v>
      </c>
      <c r="G44" s="36" t="e">
        <f t="shared" si="1"/>
        <v>#DIV/0!</v>
      </c>
      <c r="H44" s="36">
        <f t="shared" si="1"/>
        <v>0</v>
      </c>
      <c r="I44" s="36" t="e">
        <f t="shared" si="1"/>
        <v>#DIV/0!</v>
      </c>
      <c r="J44" s="36" t="e">
        <f>SUM(J7:J42)</f>
        <v>#DIV/0!</v>
      </c>
      <c r="K44" s="36"/>
      <c r="L44" s="36" t="e">
        <f>SUM(L7:L42)</f>
        <v>#DIV/0!</v>
      </c>
      <c r="M44" s="36"/>
      <c r="N44" s="36"/>
      <c r="AJ44" s="6"/>
    </row>
    <row r="46" spans="1:36" ht="12.75" customHeight="1" thickBot="1" x14ac:dyDescent="0.25">
      <c r="A46" s="214" t="s">
        <v>152</v>
      </c>
      <c r="B46" s="215"/>
      <c r="C46" s="215"/>
      <c r="D46" s="213">
        <v>0</v>
      </c>
      <c r="H46" s="230" t="s">
        <v>157</v>
      </c>
      <c r="I46" s="237"/>
      <c r="J46" s="231"/>
    </row>
    <row r="47" spans="1:36" ht="12.75" customHeight="1" thickBot="1" x14ac:dyDescent="0.25">
      <c r="A47" s="37" t="s">
        <v>32</v>
      </c>
      <c r="C47" s="38" t="e">
        <f>C44/B4</f>
        <v>#DIV/0!</v>
      </c>
      <c r="D47" s="39" t="e">
        <f>(C44-(D25*D46))/B4</f>
        <v>#DIV/0!</v>
      </c>
      <c r="E47" s="39"/>
      <c r="F47" s="39"/>
      <c r="H47" s="112" t="s">
        <v>161</v>
      </c>
      <c r="I47" s="238">
        <f>Données!B51</f>
        <v>1.2255658170853616</v>
      </c>
      <c r="J47" s="122"/>
    </row>
    <row r="48" spans="1:36" ht="12.75" customHeight="1" x14ac:dyDescent="0.2">
      <c r="H48" s="112" t="s">
        <v>170</v>
      </c>
      <c r="I48" s="239">
        <f>Données!B52</f>
        <v>88.462562448177948</v>
      </c>
      <c r="J48" s="122">
        <f>B3*I48</f>
        <v>0</v>
      </c>
    </row>
    <row r="49" spans="1:35" ht="12.75" customHeight="1" x14ac:dyDescent="0.2">
      <c r="A49" s="40" t="s">
        <v>106</v>
      </c>
      <c r="B49" s="41"/>
      <c r="C49" s="42" t="e">
        <f>C47/$B$3</f>
        <v>#DIV/0!</v>
      </c>
      <c r="D49" s="259"/>
      <c r="F49" s="5" t="s">
        <v>109</v>
      </c>
      <c r="G49" s="5" t="e">
        <f>F44-G44-H44</f>
        <v>#DIV/0!</v>
      </c>
      <c r="H49" s="112" t="s">
        <v>162</v>
      </c>
      <c r="I49" s="5" t="e">
        <f>C47*I47</f>
        <v>#DIV/0!</v>
      </c>
      <c r="J49" s="122"/>
    </row>
    <row r="50" spans="1:35" ht="12.75" customHeight="1" x14ac:dyDescent="0.2">
      <c r="A50" s="43" t="s">
        <v>37</v>
      </c>
      <c r="B50" s="20"/>
      <c r="C50" s="44">
        <f>Données!B41</f>
        <v>47.932832334190181</v>
      </c>
      <c r="D50" s="259"/>
      <c r="H50" s="112" t="s">
        <v>164</v>
      </c>
      <c r="I50" s="39" t="e">
        <f>C7+C8+C9+C11+C12+C13+C14+C15+C19+C20+C21+C22</f>
        <v>#DIV/0!</v>
      </c>
      <c r="J50" s="122"/>
    </row>
    <row r="51" spans="1:35" ht="12.75" customHeight="1" x14ac:dyDescent="0.2">
      <c r="A51" s="43"/>
      <c r="B51" s="20"/>
      <c r="C51" s="44"/>
      <c r="H51" s="232" t="s">
        <v>169</v>
      </c>
      <c r="I51" s="240" t="e">
        <f>I50/B4</f>
        <v>#DIV/0!</v>
      </c>
      <c r="J51" s="241" t="e">
        <f>I51*2</f>
        <v>#DIV/0!</v>
      </c>
    </row>
    <row r="52" spans="1:35" ht="12.75" customHeight="1" x14ac:dyDescent="0.2">
      <c r="A52" s="45"/>
      <c r="B52" s="30"/>
      <c r="C52" s="46"/>
    </row>
    <row r="53" spans="1:35" ht="12.75" customHeight="1" thickBot="1" x14ac:dyDescent="0.25"/>
    <row r="54" spans="1:35" customFormat="1" ht="13.2" x14ac:dyDescent="0.25">
      <c r="A54" s="587" t="s">
        <v>44</v>
      </c>
      <c r="B54" s="47"/>
      <c r="C54" s="48">
        <f>$C$50*C57</f>
        <v>47.932832334190181</v>
      </c>
      <c r="D54" s="48"/>
      <c r="E54" s="48">
        <f>$C$50*E57</f>
        <v>57.519398801028217</v>
      </c>
      <c r="F54" s="48"/>
      <c r="G54" s="48">
        <f>$C$50*G57</f>
        <v>71.899248501285271</v>
      </c>
      <c r="H54" s="48"/>
      <c r="I54" s="48">
        <f>$C$50*I57</f>
        <v>95.865664668380361</v>
      </c>
      <c r="J54" s="48"/>
      <c r="K54" s="48"/>
      <c r="L54" s="48">
        <f>$C$50*L57</f>
        <v>143.79849700257054</v>
      </c>
      <c r="M54" s="49"/>
      <c r="N54" s="50"/>
      <c r="O54" s="50"/>
      <c r="P54" s="50"/>
      <c r="Q54" s="50"/>
      <c r="R54" s="50"/>
      <c r="S54" s="50"/>
      <c r="T54" s="50"/>
      <c r="U54" s="50"/>
      <c r="V54" s="50"/>
      <c r="W54" s="50"/>
      <c r="X54" s="50"/>
      <c r="Y54" s="50"/>
      <c r="Z54" s="50"/>
      <c r="AA54" s="50"/>
      <c r="AB54" s="50"/>
      <c r="AC54" s="50"/>
      <c r="AD54" s="50"/>
      <c r="AE54" s="50"/>
      <c r="AF54" s="50"/>
      <c r="AG54" s="50"/>
      <c r="AH54" s="50"/>
    </row>
    <row r="55" spans="1:35" customFormat="1" ht="13.2" x14ac:dyDescent="0.25">
      <c r="A55" s="588"/>
      <c r="B55" s="51"/>
      <c r="C55" s="52">
        <v>0.2</v>
      </c>
      <c r="D55" s="52"/>
      <c r="E55" s="52">
        <v>0.3</v>
      </c>
      <c r="F55" s="52"/>
      <c r="G55" s="52">
        <v>0.4</v>
      </c>
      <c r="H55" s="52"/>
      <c r="I55" s="52">
        <v>0.5</v>
      </c>
      <c r="J55" s="52"/>
      <c r="K55" s="52"/>
      <c r="L55" s="52">
        <v>0.6</v>
      </c>
      <c r="M55" s="53"/>
      <c r="N55" s="50"/>
      <c r="O55" s="50"/>
      <c r="P55" s="50"/>
      <c r="Q55" s="50"/>
      <c r="R55" s="50"/>
      <c r="S55" s="50"/>
      <c r="T55" s="50"/>
      <c r="U55" s="50"/>
      <c r="V55" s="50"/>
      <c r="W55" s="50"/>
      <c r="X55" s="50"/>
      <c r="Y55" s="50"/>
      <c r="Z55" s="50"/>
      <c r="AA55" s="50"/>
      <c r="AB55" s="50"/>
      <c r="AC55" s="50"/>
      <c r="AD55" s="50"/>
      <c r="AE55" s="50"/>
      <c r="AF55" s="50"/>
      <c r="AG55" s="50"/>
      <c r="AH55" s="50"/>
    </row>
    <row r="56" spans="1:35" customFormat="1" ht="13.2" x14ac:dyDescent="0.2">
      <c r="A56" s="588"/>
      <c r="B56" s="54" t="s">
        <v>39</v>
      </c>
      <c r="C56" s="55" t="s">
        <v>40</v>
      </c>
      <c r="D56" s="55"/>
      <c r="E56" s="55" t="s">
        <v>41</v>
      </c>
      <c r="F56" s="55"/>
      <c r="G56" s="55" t="s">
        <v>42</v>
      </c>
      <c r="H56" s="55"/>
      <c r="I56" s="55" t="s">
        <v>43</v>
      </c>
      <c r="J56" s="55"/>
      <c r="K56" s="55"/>
      <c r="L56" s="55" t="s">
        <v>187</v>
      </c>
      <c r="M56" s="53"/>
      <c r="N56" s="50"/>
      <c r="O56" s="50"/>
      <c r="P56" s="50"/>
      <c r="Q56" s="50"/>
      <c r="R56" s="50"/>
      <c r="S56" s="50"/>
      <c r="T56" s="50"/>
      <c r="U56" s="50"/>
      <c r="V56" s="50"/>
      <c r="W56" s="50"/>
      <c r="X56" s="50"/>
      <c r="Y56" s="50"/>
      <c r="Z56" s="50"/>
      <c r="AA56" s="50"/>
      <c r="AB56" s="50"/>
      <c r="AC56" s="50"/>
      <c r="AD56" s="50"/>
      <c r="AE56" s="50"/>
      <c r="AF56" s="50"/>
      <c r="AG56" s="50"/>
      <c r="AH56" s="50"/>
    </row>
    <row r="57" spans="1:35" customFormat="1" ht="13.2" x14ac:dyDescent="0.25">
      <c r="A57" s="588"/>
      <c r="B57" s="56"/>
      <c r="C57" s="52">
        <v>1</v>
      </c>
      <c r="D57" s="52"/>
      <c r="E57" s="52">
        <v>1.2</v>
      </c>
      <c r="F57" s="52"/>
      <c r="G57" s="52">
        <v>1.5</v>
      </c>
      <c r="H57" s="52"/>
      <c r="I57" s="52">
        <v>2</v>
      </c>
      <c r="J57" s="52"/>
      <c r="K57" s="52"/>
      <c r="L57" s="52">
        <v>3</v>
      </c>
      <c r="M57" s="53"/>
      <c r="N57" s="50"/>
      <c r="O57" s="50"/>
      <c r="P57" s="50"/>
      <c r="Q57" s="50"/>
      <c r="R57" s="50"/>
      <c r="S57" s="50"/>
      <c r="T57" s="50"/>
      <c r="U57" s="50"/>
      <c r="V57" s="50"/>
      <c r="W57" s="50"/>
      <c r="X57" s="50"/>
      <c r="Y57" s="50"/>
      <c r="Z57" s="50"/>
      <c r="AA57" s="50"/>
      <c r="AB57" s="50"/>
      <c r="AC57" s="50"/>
      <c r="AD57" s="50"/>
      <c r="AE57" s="50"/>
      <c r="AF57" s="50"/>
      <c r="AG57" s="50"/>
      <c r="AH57" s="50"/>
    </row>
    <row r="58" spans="1:35" customFormat="1" ht="13.2" x14ac:dyDescent="0.25">
      <c r="A58" s="588"/>
      <c r="B58" s="57" t="e">
        <f>C49/C50</f>
        <v>#DIV/0!</v>
      </c>
      <c r="C58" s="58" t="e">
        <f>IF(AND(C49&gt;C54,C49&lt;E54),($C$49-C54)*C55,0)</f>
        <v>#DIV/0!</v>
      </c>
      <c r="D58" s="59" t="e">
        <f>IF(AND(C49&gt;C50,C49&gt;E54),(E54-C54)*C55,0)</f>
        <v>#DIV/0!</v>
      </c>
      <c r="E58" s="58" t="e">
        <f>IF(AND(C49&gt;E54,C49&lt;G54),($C$49-E54)*E55,0)</f>
        <v>#DIV/0!</v>
      </c>
      <c r="F58" s="59" t="e">
        <f>IF(AND(C49&gt;C50,C49&gt;G54),(G54-E54)*E55,0)</f>
        <v>#DIV/0!</v>
      </c>
      <c r="G58" s="58" t="e">
        <f>IF(AND(C49&gt;G54,C49&lt;I54),(C49-G54)*G55,0)</f>
        <v>#DIV/0!</v>
      </c>
      <c r="H58" s="59" t="e">
        <f>IF(AND(C49&gt;G54,C49&gt;I54),(I54-G54)*G55,0)</f>
        <v>#DIV/0!</v>
      </c>
      <c r="I58" s="58" t="e">
        <f>IF(AND(C49&gt;I54,C49&lt;L54),(C49-I54)*I55,0)</f>
        <v>#DIV/0!</v>
      </c>
      <c r="J58" s="59" t="e">
        <f>IF(AND(C49&gt;I54,C49&gt;L54),(L54-I54)*I55,0)</f>
        <v>#DIV/0!</v>
      </c>
      <c r="K58" s="59"/>
      <c r="L58" s="58" t="e">
        <f>IF(C49&gt;L54,(C49-L54)*L55,0)</f>
        <v>#DIV/0!</v>
      </c>
      <c r="M58" s="53" t="e">
        <f>SUM(C58:L58)</f>
        <v>#DIV/0!</v>
      </c>
      <c r="N58" s="50"/>
      <c r="O58" s="50"/>
      <c r="P58" s="50"/>
      <c r="Q58" s="50"/>
      <c r="R58" s="50"/>
      <c r="S58" s="50"/>
      <c r="T58" s="50"/>
      <c r="U58" s="50"/>
      <c r="V58" s="50"/>
      <c r="W58" s="50"/>
      <c r="X58" s="50"/>
      <c r="Y58" s="50"/>
      <c r="Z58" s="50"/>
      <c r="AA58" s="50"/>
      <c r="AB58" s="50"/>
      <c r="AC58" s="50"/>
      <c r="AD58" s="50"/>
      <c r="AE58" s="50"/>
      <c r="AF58" s="50"/>
      <c r="AG58" s="50"/>
      <c r="AH58" s="50"/>
    </row>
    <row r="59" spans="1:35" ht="12.75" customHeight="1" x14ac:dyDescent="0.2">
      <c r="A59" s="588"/>
      <c r="M59" s="60"/>
      <c r="N59" s="6"/>
      <c r="AI59" s="5"/>
    </row>
    <row r="60" spans="1:35" ht="12.75" customHeight="1" x14ac:dyDescent="0.2">
      <c r="A60" s="588"/>
      <c r="B60" s="5" t="s">
        <v>46</v>
      </c>
      <c r="C60" s="61">
        <v>0.3</v>
      </c>
      <c r="D60" s="61"/>
      <c r="E60" s="61" t="s">
        <v>47</v>
      </c>
      <c r="F60" s="61">
        <v>0.5</v>
      </c>
      <c r="I60" s="62"/>
      <c r="J60" s="61"/>
      <c r="K60" s="61"/>
      <c r="L60" s="61"/>
      <c r="M60" s="60"/>
      <c r="N60" s="6"/>
      <c r="AI60" s="5"/>
    </row>
    <row r="61" spans="1:35" ht="12.75" customHeight="1" thickBot="1" x14ac:dyDescent="0.25">
      <c r="A61" s="589"/>
      <c r="B61" s="63" t="s">
        <v>48</v>
      </c>
      <c r="C61" s="64">
        <v>0.5</v>
      </c>
      <c r="D61" s="64"/>
      <c r="E61" s="64" t="s">
        <v>49</v>
      </c>
      <c r="F61" s="64">
        <v>0.5</v>
      </c>
      <c r="G61" s="63"/>
      <c r="H61" s="63"/>
      <c r="I61" s="65"/>
      <c r="J61" s="63"/>
      <c r="K61" s="63"/>
      <c r="L61" s="63"/>
      <c r="M61" s="66"/>
      <c r="N61" s="6"/>
      <c r="AI61" s="5"/>
    </row>
    <row r="62" spans="1:35" ht="12.75" customHeight="1" x14ac:dyDescent="0.2">
      <c r="A62" s="5"/>
      <c r="J62" s="6"/>
      <c r="K62" s="6"/>
      <c r="L62" s="6"/>
      <c r="M62" s="6"/>
      <c r="N62" s="6"/>
      <c r="AF62" s="5"/>
      <c r="AG62" s="5"/>
      <c r="AH62" s="5"/>
      <c r="AI62" s="5"/>
    </row>
    <row r="63" spans="1:35" ht="12.75" customHeight="1" thickBot="1" x14ac:dyDescent="0.25">
      <c r="A63" s="5"/>
      <c r="J63" s="6"/>
      <c r="K63" s="6"/>
      <c r="L63" s="6"/>
      <c r="M63" s="6"/>
      <c r="N63" s="6"/>
      <c r="AF63" s="5"/>
      <c r="AG63" s="5"/>
      <c r="AH63" s="5"/>
      <c r="AI63" s="5"/>
    </row>
    <row r="64" spans="1:35" s="51" customFormat="1" ht="13.2" x14ac:dyDescent="0.25">
      <c r="A64" s="590" t="s">
        <v>59</v>
      </c>
      <c r="B64" s="67" t="s">
        <v>54</v>
      </c>
      <c r="C64" s="68">
        <v>0</v>
      </c>
      <c r="D64" s="68">
        <v>1000</v>
      </c>
      <c r="E64" s="68">
        <v>3000</v>
      </c>
      <c r="F64" s="68">
        <v>5000</v>
      </c>
      <c r="G64" s="68">
        <v>9000</v>
      </c>
      <c r="H64" s="68">
        <v>12000</v>
      </c>
      <c r="I64" s="68">
        <v>15000</v>
      </c>
      <c r="J64" s="69"/>
    </row>
    <row r="65" spans="1:35" s="51" customFormat="1" ht="13.2" x14ac:dyDescent="0.25">
      <c r="A65" s="591"/>
      <c r="B65" s="70" t="s">
        <v>55</v>
      </c>
      <c r="C65" s="71">
        <v>1000</v>
      </c>
      <c r="D65" s="71">
        <v>3000</v>
      </c>
      <c r="E65" s="71">
        <v>5000</v>
      </c>
      <c r="F65" s="71">
        <v>9000</v>
      </c>
      <c r="G65" s="71">
        <v>12000</v>
      </c>
      <c r="H65" s="71">
        <v>15000</v>
      </c>
      <c r="I65" s="71"/>
      <c r="J65" s="72"/>
      <c r="L65" s="296"/>
      <c r="M65" s="303" t="s">
        <v>524</v>
      </c>
      <c r="N65" s="306">
        <v>99.4</v>
      </c>
    </row>
    <row r="66" spans="1:35" s="300" customFormat="1" ht="23.25" customHeight="1" x14ac:dyDescent="0.2">
      <c r="A66" s="591"/>
      <c r="B66" s="297" t="s">
        <v>523</v>
      </c>
      <c r="C66" s="301">
        <v>125</v>
      </c>
      <c r="D66" s="302">
        <v>350</v>
      </c>
      <c r="E66" s="302">
        <v>500</v>
      </c>
      <c r="F66" s="302">
        <v>600</v>
      </c>
      <c r="G66" s="302">
        <v>850</v>
      </c>
      <c r="H66" s="302">
        <v>1000</v>
      </c>
      <c r="I66" s="302">
        <v>1050</v>
      </c>
      <c r="J66" s="298" t="s">
        <v>57</v>
      </c>
      <c r="K66" s="299"/>
      <c r="L66" s="299"/>
    </row>
    <row r="67" spans="1:35" s="76" customFormat="1" ht="17.399999999999999" x14ac:dyDescent="0.3">
      <c r="A67" s="591"/>
      <c r="B67" s="74" t="s">
        <v>56</v>
      </c>
      <c r="C67" s="210">
        <f>C66/N65*N67</f>
        <v>129.02414486921526</v>
      </c>
      <c r="D67" s="210">
        <f>D66/N65*N67</f>
        <v>361.26760563380276</v>
      </c>
      <c r="E67" s="210">
        <f>E66/N65*N67</f>
        <v>516.09657947686105</v>
      </c>
      <c r="F67" s="210">
        <f>F66/N65*N67</f>
        <v>619.31589537223329</v>
      </c>
      <c r="G67" s="210">
        <f>G66/N65*N67</f>
        <v>877.36418511066393</v>
      </c>
      <c r="H67" s="210">
        <f>H66/N65*N67</f>
        <v>1032.1931589537221</v>
      </c>
      <c r="I67" s="210">
        <f>I66/N65*N67</f>
        <v>1083.8028169014083</v>
      </c>
      <c r="J67" s="75" t="s">
        <v>58</v>
      </c>
      <c r="K67" s="73"/>
      <c r="L67" s="304"/>
      <c r="M67" s="305" t="s">
        <v>525</v>
      </c>
      <c r="N67" s="488">
        <v>102.6</v>
      </c>
    </row>
    <row r="68" spans="1:35" ht="22.5" customHeight="1" x14ac:dyDescent="0.3">
      <c r="A68" s="591"/>
      <c r="B68" s="77">
        <f>B3</f>
        <v>0</v>
      </c>
      <c r="C68" s="211">
        <f t="shared" ref="C68:H68" si="2">IF($B$68&gt;C64,IF($B$68&lt;C65,$B$68-C64,C65-C64),0)</f>
        <v>0</v>
      </c>
      <c r="D68" s="211">
        <f t="shared" si="2"/>
        <v>0</v>
      </c>
      <c r="E68" s="211">
        <f t="shared" si="2"/>
        <v>0</v>
      </c>
      <c r="F68" s="211">
        <f t="shared" si="2"/>
        <v>0</v>
      </c>
      <c r="G68" s="211">
        <f t="shared" si="2"/>
        <v>0</v>
      </c>
      <c r="H68" s="211">
        <f t="shared" si="2"/>
        <v>0</v>
      </c>
      <c r="I68" s="211">
        <f>IF($B$68&gt;I64,(B68-I64),0)</f>
        <v>0</v>
      </c>
      <c r="J68" s="212">
        <f>(C68*C67)+(D68*D67)+(E68*E67)+(F68*F67)+(G68*G67)+(H68*H67)+(I68*I67)</f>
        <v>0</v>
      </c>
      <c r="K68" s="78"/>
      <c r="L68" s="79"/>
      <c r="M68" s="79"/>
      <c r="N68" s="6"/>
      <c r="AE68" s="5"/>
      <c r="AF68" s="5"/>
      <c r="AG68" s="5"/>
      <c r="AH68" s="5"/>
      <c r="AI68" s="5"/>
    </row>
    <row r="69" spans="1:35" s="82" customFormat="1" ht="22.5" customHeight="1" thickBot="1" x14ac:dyDescent="0.3">
      <c r="A69" s="592"/>
      <c r="B69" s="80"/>
      <c r="C69" s="80">
        <f>C68*C67</f>
        <v>0</v>
      </c>
      <c r="D69" s="80">
        <f t="shared" ref="D69:I69" si="3">D68*D67</f>
        <v>0</v>
      </c>
      <c r="E69" s="80">
        <f t="shared" si="3"/>
        <v>0</v>
      </c>
      <c r="F69" s="80">
        <f t="shared" si="3"/>
        <v>0</v>
      </c>
      <c r="G69" s="80">
        <f t="shared" si="3"/>
        <v>0</v>
      </c>
      <c r="H69" s="80">
        <f t="shared" si="3"/>
        <v>0</v>
      </c>
      <c r="I69" s="80">
        <f t="shared" si="3"/>
        <v>0</v>
      </c>
      <c r="J69" s="81"/>
      <c r="L69" s="83"/>
      <c r="M69" s="83"/>
      <c r="N69" s="307"/>
      <c r="O69" s="83"/>
      <c r="P69" s="83"/>
      <c r="Q69" s="83"/>
      <c r="R69" s="83"/>
      <c r="S69" s="83"/>
      <c r="T69" s="83"/>
      <c r="U69" s="83"/>
      <c r="V69" s="83"/>
      <c r="W69" s="83"/>
      <c r="X69" s="83"/>
      <c r="Y69" s="83"/>
      <c r="Z69" s="83"/>
      <c r="AA69" s="83"/>
      <c r="AB69" s="83"/>
      <c r="AC69" s="83"/>
      <c r="AD69" s="83"/>
      <c r="AE69" s="83"/>
      <c r="AF69" s="83"/>
    </row>
    <row r="70" spans="1:35" ht="12.75" customHeight="1" x14ac:dyDescent="0.2">
      <c r="A70" s="5"/>
    </row>
    <row r="71" spans="1:35" ht="12.75" customHeight="1" x14ac:dyDescent="0.2">
      <c r="A71" s="5" t="s">
        <v>63</v>
      </c>
      <c r="B71" s="5" t="s">
        <v>50</v>
      </c>
      <c r="C71" s="5" t="e">
        <f>E44</f>
        <v>#DIV/0!</v>
      </c>
      <c r="E71" s="5" t="s">
        <v>61</v>
      </c>
      <c r="F71" s="5" t="s">
        <v>50</v>
      </c>
      <c r="G71" s="5" t="e">
        <f>E44</f>
        <v>#DIV/0!</v>
      </c>
      <c r="I71" s="158" t="s">
        <v>74</v>
      </c>
      <c r="J71" s="158" t="s">
        <v>79</v>
      </c>
      <c r="K71" s="158"/>
      <c r="L71" s="159">
        <f>B4</f>
        <v>0</v>
      </c>
    </row>
    <row r="72" spans="1:35" ht="12.75" customHeight="1" x14ac:dyDescent="0.2">
      <c r="B72" s="205" t="s">
        <v>141</v>
      </c>
      <c r="C72" s="314" t="e">
        <f>C71/C47</f>
        <v>#DIV/0!</v>
      </c>
      <c r="F72" s="205" t="s">
        <v>141</v>
      </c>
      <c r="G72" s="314" t="e">
        <f>G71/C47</f>
        <v>#DIV/0!</v>
      </c>
      <c r="I72" s="158"/>
      <c r="J72" s="160" t="s">
        <v>80</v>
      </c>
      <c r="K72" s="161"/>
      <c r="L72" s="162">
        <f>Données!F24-Données!F22-Données!F14</f>
        <v>0</v>
      </c>
    </row>
    <row r="73" spans="1:35" ht="12.75" customHeight="1" x14ac:dyDescent="0.2">
      <c r="B73" s="205"/>
      <c r="C73" s="216"/>
      <c r="F73" s="205" t="s">
        <v>526</v>
      </c>
      <c r="G73" s="314" t="e">
        <f>-SUM(E27:E30)/C47</f>
        <v>#DIV/0!</v>
      </c>
      <c r="I73" s="158"/>
      <c r="J73" s="160" t="s">
        <v>527</v>
      </c>
      <c r="K73" s="161"/>
      <c r="L73" s="313" t="e">
        <f>L72/Données!F26</f>
        <v>#DIV/0!</v>
      </c>
    </row>
    <row r="74" spans="1:35" ht="12.75" customHeight="1" x14ac:dyDescent="0.2">
      <c r="B74" s="5" t="s">
        <v>109</v>
      </c>
      <c r="C74" s="5" t="e">
        <f>F44-G44-H44</f>
        <v>#DIV/0!</v>
      </c>
      <c r="F74" s="5" t="s">
        <v>65</v>
      </c>
      <c r="G74" s="5" t="e">
        <f>F44</f>
        <v>#DIV/0!</v>
      </c>
      <c r="I74" s="158"/>
      <c r="J74" s="158" t="s">
        <v>81</v>
      </c>
      <c r="K74" s="163" t="s">
        <v>75</v>
      </c>
      <c r="L74" s="311" t="e">
        <f>L71-L73</f>
        <v>#DIV/0!</v>
      </c>
    </row>
    <row r="75" spans="1:35" ht="12.75" customHeight="1" x14ac:dyDescent="0.2">
      <c r="B75" s="205" t="s">
        <v>153</v>
      </c>
      <c r="C75" s="314" t="e">
        <f>C74/C47</f>
        <v>#DIV/0!</v>
      </c>
      <c r="F75" s="5" t="s">
        <v>66</v>
      </c>
      <c r="G75" s="5" t="e">
        <f>-G44</f>
        <v>#DIV/0!</v>
      </c>
      <c r="I75" s="158"/>
      <c r="J75" s="160" t="s">
        <v>530</v>
      </c>
      <c r="K75" s="161" t="s">
        <v>75</v>
      </c>
      <c r="L75" s="311" t="e">
        <f>G81</f>
        <v>#DIV/0!</v>
      </c>
    </row>
    <row r="76" spans="1:35" ht="12.75" customHeight="1" x14ac:dyDescent="0.2">
      <c r="F76" s="5" t="s">
        <v>67</v>
      </c>
      <c r="G76" s="5">
        <f>-H44</f>
        <v>0</v>
      </c>
      <c r="I76" s="158"/>
      <c r="J76" s="491" t="s">
        <v>529</v>
      </c>
      <c r="K76" s="492"/>
      <c r="L76" s="493" t="e">
        <f>L74+L75</f>
        <v>#DIV/0!</v>
      </c>
    </row>
    <row r="77" spans="1:35" ht="12.75" customHeight="1" x14ac:dyDescent="0.2">
      <c r="B77" s="489" t="s">
        <v>528</v>
      </c>
      <c r="C77" s="490" t="e">
        <f>C72+C75</f>
        <v>#DIV/0!</v>
      </c>
      <c r="F77" s="85" t="s">
        <v>143</v>
      </c>
      <c r="G77" s="5" t="e">
        <f>-(N14+N15)</f>
        <v>#DIV/0!</v>
      </c>
      <c r="I77" s="158"/>
      <c r="J77" s="164" t="s">
        <v>73</v>
      </c>
      <c r="K77" s="165"/>
      <c r="L77" s="312">
        <f>Données!B44</f>
        <v>92.188000000000002</v>
      </c>
    </row>
    <row r="78" spans="1:35" ht="12.75" customHeight="1" x14ac:dyDescent="0.2">
      <c r="B78" s="39" t="s">
        <v>68</v>
      </c>
      <c r="C78" s="87">
        <v>-8</v>
      </c>
      <c r="F78" s="5" t="s">
        <v>72</v>
      </c>
      <c r="G78" s="5" t="e">
        <f>SUM(G74:G77)</f>
        <v>#DIV/0!</v>
      </c>
      <c r="I78" s="158"/>
      <c r="J78" s="158" t="s">
        <v>69</v>
      </c>
      <c r="K78" s="158"/>
      <c r="L78" s="311" t="e">
        <f>IF(L76&gt;L77,L76-L77,0)</f>
        <v>#DIV/0!</v>
      </c>
    </row>
    <row r="79" spans="1:35" ht="12.75" customHeight="1" x14ac:dyDescent="0.2">
      <c r="B79" s="5" t="s">
        <v>69</v>
      </c>
      <c r="C79" s="86" t="e">
        <f>IF(C77&lt;C78,C78-C77,0)</f>
        <v>#DIV/0!</v>
      </c>
      <c r="F79" s="205" t="s">
        <v>142</v>
      </c>
      <c r="G79" s="314" t="e">
        <f>G78/C47</f>
        <v>#DIV/0!</v>
      </c>
      <c r="I79" s="158"/>
    </row>
    <row r="80" spans="1:35" ht="12.75" customHeight="1" x14ac:dyDescent="0.2">
      <c r="F80" s="5" t="s">
        <v>610</v>
      </c>
      <c r="G80" s="315" t="e">
        <f>G72+G79</f>
        <v>#DIV/0!</v>
      </c>
      <c r="I80" s="158"/>
    </row>
    <row r="81" spans="6:9" ht="12.75" customHeight="1" x14ac:dyDescent="0.2">
      <c r="F81" s="489" t="s">
        <v>611</v>
      </c>
      <c r="G81" s="490" t="e">
        <f>G72+G73+G79</f>
        <v>#DIV/0!</v>
      </c>
      <c r="I81" s="84"/>
    </row>
    <row r="82" spans="6:9" ht="12.75" customHeight="1" x14ac:dyDescent="0.2">
      <c r="F82" s="39" t="s">
        <v>73</v>
      </c>
      <c r="G82" s="316">
        <f>Données!B45</f>
        <v>48</v>
      </c>
    </row>
    <row r="83" spans="6:9" ht="12.75" customHeight="1" x14ac:dyDescent="0.2">
      <c r="F83" s="5" t="s">
        <v>69</v>
      </c>
      <c r="G83" s="315" t="e">
        <f>IF(G81&gt;G82,G81-G82,0)</f>
        <v>#DIV/0!</v>
      </c>
    </row>
  </sheetData>
  <sheetProtection password="8ED5" sheet="1" objects="1" scenarios="1"/>
  <mergeCells count="3">
    <mergeCell ref="G1:N1"/>
    <mergeCell ref="A54:A61"/>
    <mergeCell ref="A64:A69"/>
  </mergeCells>
  <phoneticPr fontId="8" type="noConversion"/>
  <pageMargins left="0.47244094488188981" right="0.11811023622047245" top="0.42" bottom="0.33" header="0.15748031496062992" footer="0.17"/>
  <pageSetup paperSize="9" scale="49" orientation="landscape" r:id="rId1"/>
  <headerFooter alignWithMargins="0">
    <oddHeader xml:space="preserve">&amp;C&amp;"Tahoma,Normal"&amp;11Commune de Sainte-Croix
- Bourse communale&amp;R&amp;"Arial,Gras"&amp;20 </oddHeader>
    <oddFooter>&amp;L&amp;"Tahoma,Normal"&amp;7&amp;F/&amp;D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4"/>
  <sheetViews>
    <sheetView workbookViewId="0">
      <selection activeCell="A45" sqref="A45:E45"/>
    </sheetView>
  </sheetViews>
  <sheetFormatPr baseColWidth="10" defaultColWidth="10.08984375" defaultRowHeight="14.4" x14ac:dyDescent="0.3"/>
  <cols>
    <col min="1" max="1" width="24.90625" style="291" customWidth="1"/>
    <col min="2" max="2" width="24.7265625" style="291" customWidth="1"/>
    <col min="3" max="3" width="10.08984375" style="291"/>
    <col min="4" max="4" width="10" style="291" customWidth="1"/>
    <col min="5" max="16384" width="10.08984375" style="291"/>
  </cols>
  <sheetData>
    <row r="1" spans="1:3" x14ac:dyDescent="0.3">
      <c r="A1" s="291" t="s">
        <v>160</v>
      </c>
      <c r="B1" s="291" t="s">
        <v>179</v>
      </c>
      <c r="C1" s="291" t="s">
        <v>180</v>
      </c>
    </row>
    <row r="2" spans="1:3" x14ac:dyDescent="0.3">
      <c r="A2" s="293" t="s">
        <v>496</v>
      </c>
    </row>
    <row r="3" spans="1:3" x14ac:dyDescent="0.3">
      <c r="A3" s="292" t="s">
        <v>314</v>
      </c>
      <c r="B3" s="291" t="s">
        <v>499</v>
      </c>
      <c r="C3" s="291">
        <v>5621</v>
      </c>
    </row>
    <row r="4" spans="1:3" x14ac:dyDescent="0.3">
      <c r="A4" s="292" t="s">
        <v>392</v>
      </c>
      <c r="B4" s="291" t="s">
        <v>498</v>
      </c>
      <c r="C4" s="291">
        <v>5742</v>
      </c>
    </row>
    <row r="5" spans="1:3" x14ac:dyDescent="0.3">
      <c r="A5" s="292" t="s">
        <v>190</v>
      </c>
      <c r="B5" s="291" t="s">
        <v>497</v>
      </c>
      <c r="C5" s="291">
        <v>5401</v>
      </c>
    </row>
    <row r="6" spans="1:3" x14ac:dyDescent="0.3">
      <c r="A6" s="292" t="s">
        <v>438</v>
      </c>
      <c r="B6" s="291" t="s">
        <v>499</v>
      </c>
      <c r="C6" s="291">
        <v>5851</v>
      </c>
    </row>
    <row r="7" spans="1:3" x14ac:dyDescent="0.3">
      <c r="A7" s="292" t="s">
        <v>205</v>
      </c>
      <c r="B7" s="291" t="s">
        <v>499</v>
      </c>
      <c r="C7" s="291">
        <v>5421</v>
      </c>
    </row>
    <row r="8" spans="1:3" x14ac:dyDescent="0.3">
      <c r="A8" s="292" t="s">
        <v>360</v>
      </c>
      <c r="B8" s="291" t="s">
        <v>502</v>
      </c>
      <c r="C8" s="291">
        <v>5701</v>
      </c>
    </row>
    <row r="9" spans="1:3" x14ac:dyDescent="0.3">
      <c r="A9" s="292" t="s">
        <v>393</v>
      </c>
      <c r="B9" s="291" t="s">
        <v>498</v>
      </c>
      <c r="C9" s="291">
        <v>5743</v>
      </c>
    </row>
    <row r="10" spans="1:3" x14ac:dyDescent="0.3">
      <c r="A10" s="292" t="s">
        <v>522</v>
      </c>
      <c r="B10" s="291" t="s">
        <v>502</v>
      </c>
      <c r="C10" s="291">
        <v>5702</v>
      </c>
    </row>
    <row r="11" spans="1:3" x14ac:dyDescent="0.3">
      <c r="A11" s="292" t="s">
        <v>257</v>
      </c>
      <c r="B11" s="291" t="s">
        <v>501</v>
      </c>
      <c r="C11" s="291">
        <v>5511</v>
      </c>
    </row>
    <row r="12" spans="1:3" x14ac:dyDescent="0.3">
      <c r="A12" s="292" t="s">
        <v>206</v>
      </c>
      <c r="B12" s="291" t="s">
        <v>499</v>
      </c>
      <c r="C12" s="291">
        <v>5422</v>
      </c>
    </row>
    <row r="13" spans="1:3" x14ac:dyDescent="0.3">
      <c r="A13" s="292" t="s">
        <v>221</v>
      </c>
      <c r="B13" s="291" t="s">
        <v>500</v>
      </c>
      <c r="C13" s="291">
        <v>5451</v>
      </c>
    </row>
    <row r="14" spans="1:3" x14ac:dyDescent="0.3">
      <c r="A14" s="292" t="s">
        <v>394</v>
      </c>
      <c r="B14" s="291" t="s">
        <v>498</v>
      </c>
      <c r="C14" s="291">
        <v>5744</v>
      </c>
    </row>
    <row r="15" spans="1:3" x14ac:dyDescent="0.3">
      <c r="A15" s="292" t="s">
        <v>207</v>
      </c>
      <c r="B15" s="291" t="s">
        <v>499</v>
      </c>
      <c r="C15" s="291">
        <v>5423</v>
      </c>
    </row>
    <row r="16" spans="1:3" x14ac:dyDescent="0.3">
      <c r="A16" s="292" t="s">
        <v>361</v>
      </c>
      <c r="B16" s="291" t="s">
        <v>502</v>
      </c>
      <c r="C16" s="291">
        <v>5703</v>
      </c>
    </row>
    <row r="17" spans="1:3" x14ac:dyDescent="0.3">
      <c r="A17" s="292" t="s">
        <v>395</v>
      </c>
      <c r="B17" s="291" t="s">
        <v>498</v>
      </c>
      <c r="C17" s="291">
        <v>5745</v>
      </c>
    </row>
    <row r="18" spans="1:3" x14ac:dyDescent="0.3">
      <c r="A18" s="292" t="s">
        <v>396</v>
      </c>
      <c r="B18" s="291" t="s">
        <v>498</v>
      </c>
      <c r="C18" s="291">
        <v>5746</v>
      </c>
    </row>
    <row r="19" spans="1:3" x14ac:dyDescent="0.3">
      <c r="A19" s="292" t="s">
        <v>362</v>
      </c>
      <c r="B19" s="291" t="s">
        <v>502</v>
      </c>
      <c r="C19" s="291">
        <v>5704</v>
      </c>
    </row>
    <row r="20" spans="1:3" x14ac:dyDescent="0.3">
      <c r="A20" s="292" t="s">
        <v>295</v>
      </c>
      <c r="B20" s="291" t="s">
        <v>505</v>
      </c>
      <c r="C20" s="291">
        <v>5581</v>
      </c>
    </row>
    <row r="21" spans="1:3" x14ac:dyDescent="0.3">
      <c r="A21" s="292" t="s">
        <v>464</v>
      </c>
      <c r="B21" s="291" t="s">
        <v>498</v>
      </c>
      <c r="C21" s="291">
        <v>5902</v>
      </c>
    </row>
    <row r="22" spans="1:3" x14ac:dyDescent="0.3">
      <c r="A22" s="292" t="s">
        <v>258</v>
      </c>
      <c r="B22" s="291" t="s">
        <v>501</v>
      </c>
      <c r="C22" s="291">
        <v>5512</v>
      </c>
    </row>
    <row r="23" spans="1:3" x14ac:dyDescent="0.3">
      <c r="A23" s="292" t="s">
        <v>208</v>
      </c>
      <c r="B23" s="291" t="s">
        <v>499</v>
      </c>
      <c r="C23" s="291">
        <v>5424</v>
      </c>
    </row>
    <row r="24" spans="1:3" x14ac:dyDescent="0.3">
      <c r="A24" s="292" t="s">
        <v>225</v>
      </c>
      <c r="B24" s="291" t="s">
        <v>501</v>
      </c>
      <c r="C24" s="291">
        <v>5471</v>
      </c>
    </row>
    <row r="25" spans="1:3" x14ac:dyDescent="0.3">
      <c r="A25" s="292" t="s">
        <v>191</v>
      </c>
      <c r="B25" s="291" t="s">
        <v>497</v>
      </c>
      <c r="C25" s="291">
        <v>5402</v>
      </c>
    </row>
    <row r="26" spans="1:3" x14ac:dyDescent="0.3">
      <c r="A26" s="292" t="s">
        <v>209</v>
      </c>
      <c r="B26" s="291" t="s">
        <v>499</v>
      </c>
      <c r="C26" s="291">
        <v>5425</v>
      </c>
    </row>
    <row r="27" spans="1:3" x14ac:dyDescent="0.3">
      <c r="A27" s="292" t="s">
        <v>465</v>
      </c>
      <c r="B27" s="291" t="s">
        <v>498</v>
      </c>
      <c r="C27" s="291">
        <v>5903</v>
      </c>
    </row>
    <row r="28" spans="1:3" x14ac:dyDescent="0.3">
      <c r="A28" s="292" t="s">
        <v>259</v>
      </c>
      <c r="B28" s="291" t="s">
        <v>501</v>
      </c>
      <c r="C28" s="291">
        <v>5513</v>
      </c>
    </row>
    <row r="29" spans="1:3" x14ac:dyDescent="0.3">
      <c r="A29" s="292" t="s">
        <v>454</v>
      </c>
      <c r="B29" s="291" t="s">
        <v>504</v>
      </c>
      <c r="C29" s="291">
        <v>5881</v>
      </c>
    </row>
    <row r="30" spans="1:3" x14ac:dyDescent="0.3">
      <c r="A30" s="292" t="s">
        <v>397</v>
      </c>
      <c r="B30" s="291" t="s">
        <v>498</v>
      </c>
      <c r="C30" s="291">
        <v>5747</v>
      </c>
    </row>
    <row r="31" spans="1:3" x14ac:dyDescent="0.3">
      <c r="A31" s="292" t="s">
        <v>363</v>
      </c>
      <c r="B31" s="291" t="s">
        <v>502</v>
      </c>
      <c r="C31" s="291">
        <v>5705</v>
      </c>
    </row>
    <row r="32" spans="1:3" x14ac:dyDescent="0.3">
      <c r="A32" s="292" t="s">
        <v>279</v>
      </c>
      <c r="B32" s="291" t="s">
        <v>498</v>
      </c>
      <c r="C32" s="291">
        <v>5551</v>
      </c>
    </row>
    <row r="33" spans="1:3" x14ac:dyDescent="0.3">
      <c r="A33" s="292" t="s">
        <v>364</v>
      </c>
      <c r="B33" s="291" t="s">
        <v>502</v>
      </c>
      <c r="C33" s="291">
        <v>5706</v>
      </c>
    </row>
    <row r="34" spans="1:3" x14ac:dyDescent="0.3">
      <c r="A34" s="292" t="s">
        <v>260</v>
      </c>
      <c r="B34" s="291" t="s">
        <v>501</v>
      </c>
      <c r="C34" s="291">
        <v>5514</v>
      </c>
    </row>
    <row r="35" spans="1:3" x14ac:dyDescent="0.3">
      <c r="A35" s="292" t="s">
        <v>210</v>
      </c>
      <c r="B35" s="291" t="s">
        <v>499</v>
      </c>
      <c r="C35" s="291">
        <v>5426</v>
      </c>
    </row>
    <row r="36" spans="1:3" x14ac:dyDescent="0.3">
      <c r="A36" s="292" t="s">
        <v>344</v>
      </c>
      <c r="B36" s="291" t="s">
        <v>501</v>
      </c>
      <c r="C36" s="291">
        <v>5661</v>
      </c>
    </row>
    <row r="37" spans="1:3" x14ac:dyDescent="0.3">
      <c r="A37" s="292" t="s">
        <v>313</v>
      </c>
      <c r="B37" s="291" t="s">
        <v>505</v>
      </c>
      <c r="C37" s="291">
        <v>5613</v>
      </c>
    </row>
    <row r="38" spans="1:3" x14ac:dyDescent="0.3">
      <c r="A38" s="292" t="s">
        <v>226</v>
      </c>
      <c r="B38" s="291" t="s">
        <v>501</v>
      </c>
      <c r="C38" s="291">
        <v>5472</v>
      </c>
    </row>
    <row r="39" spans="1:3" x14ac:dyDescent="0.3">
      <c r="A39" s="292" t="s">
        <v>227</v>
      </c>
      <c r="B39" s="291" t="s">
        <v>501</v>
      </c>
      <c r="C39" s="291">
        <v>5473</v>
      </c>
    </row>
    <row r="40" spans="1:3" x14ac:dyDescent="0.3">
      <c r="A40" s="292" t="s">
        <v>315</v>
      </c>
      <c r="B40" s="291" t="s">
        <v>499</v>
      </c>
      <c r="C40" s="291">
        <v>5622</v>
      </c>
    </row>
    <row r="41" spans="1:3" x14ac:dyDescent="0.3">
      <c r="A41" s="292" t="s">
        <v>521</v>
      </c>
      <c r="B41" s="291" t="s">
        <v>500</v>
      </c>
      <c r="C41" s="291">
        <v>5662</v>
      </c>
    </row>
    <row r="42" spans="1:3" x14ac:dyDescent="0.3">
      <c r="A42" s="292" t="s">
        <v>261</v>
      </c>
      <c r="B42" s="291" t="s">
        <v>501</v>
      </c>
      <c r="C42" s="291">
        <v>5515</v>
      </c>
    </row>
    <row r="43" spans="1:3" x14ac:dyDescent="0.3">
      <c r="A43" s="292" t="s">
        <v>398</v>
      </c>
      <c r="B43" s="291" t="s">
        <v>498</v>
      </c>
      <c r="C43" s="291">
        <v>5748</v>
      </c>
    </row>
    <row r="44" spans="1:3" x14ac:dyDescent="0.3">
      <c r="A44" s="292" t="s">
        <v>316</v>
      </c>
      <c r="B44" s="291" t="s">
        <v>499</v>
      </c>
      <c r="C44" s="291">
        <v>5623</v>
      </c>
    </row>
    <row r="45" spans="1:3" x14ac:dyDescent="0.3">
      <c r="A45" s="292" t="s">
        <v>280</v>
      </c>
      <c r="B45" s="291" t="s">
        <v>498</v>
      </c>
      <c r="C45" s="291">
        <v>5552</v>
      </c>
    </row>
    <row r="46" spans="1:3" x14ac:dyDescent="0.3">
      <c r="A46" s="292" t="s">
        <v>439</v>
      </c>
      <c r="B46" s="291" t="s">
        <v>502</v>
      </c>
      <c r="C46" s="291">
        <v>5852</v>
      </c>
    </row>
    <row r="47" spans="1:3" x14ac:dyDescent="0.3">
      <c r="A47" s="292" t="s">
        <v>440</v>
      </c>
      <c r="B47" s="291" t="s">
        <v>502</v>
      </c>
      <c r="C47" s="291">
        <v>5853</v>
      </c>
    </row>
    <row r="48" spans="1:3" x14ac:dyDescent="0.3">
      <c r="A48" s="292" t="s">
        <v>441</v>
      </c>
      <c r="B48" s="291" t="s">
        <v>502</v>
      </c>
      <c r="C48" s="291">
        <v>5854</v>
      </c>
    </row>
    <row r="49" spans="1:3" x14ac:dyDescent="0.3">
      <c r="A49" s="292" t="s">
        <v>317</v>
      </c>
      <c r="B49" s="291" t="s">
        <v>503</v>
      </c>
      <c r="C49" s="291">
        <v>5624</v>
      </c>
    </row>
    <row r="50" spans="1:3" x14ac:dyDescent="0.3">
      <c r="A50" s="292" t="s">
        <v>318</v>
      </c>
      <c r="B50" s="291" t="s">
        <v>499</v>
      </c>
      <c r="C50" s="291">
        <v>5625</v>
      </c>
    </row>
    <row r="51" spans="1:3" x14ac:dyDescent="0.3">
      <c r="A51" s="292" t="s">
        <v>345</v>
      </c>
      <c r="B51" s="291" t="s">
        <v>500</v>
      </c>
      <c r="C51" s="291">
        <v>5663</v>
      </c>
    </row>
    <row r="52" spans="1:3" x14ac:dyDescent="0.3">
      <c r="A52" s="292" t="s">
        <v>520</v>
      </c>
      <c r="B52" s="291" t="s">
        <v>500</v>
      </c>
      <c r="C52" s="291">
        <v>5782</v>
      </c>
    </row>
    <row r="53" spans="1:3" x14ac:dyDescent="0.3">
      <c r="A53" s="292" t="s">
        <v>466</v>
      </c>
      <c r="B53" s="291" t="s">
        <v>498</v>
      </c>
      <c r="C53" s="291">
        <v>5904</v>
      </c>
    </row>
    <row r="54" spans="1:3" x14ac:dyDescent="0.3">
      <c r="A54" s="292" t="s">
        <v>281</v>
      </c>
      <c r="B54" s="291" t="s">
        <v>498</v>
      </c>
      <c r="C54" s="291">
        <v>5553</v>
      </c>
    </row>
    <row r="55" spans="1:3" x14ac:dyDescent="0.3">
      <c r="A55" s="292" t="s">
        <v>424</v>
      </c>
      <c r="B55" s="291" t="s">
        <v>500</v>
      </c>
      <c r="C55" s="291">
        <v>5812</v>
      </c>
    </row>
    <row r="56" spans="1:3" x14ac:dyDescent="0.3">
      <c r="A56" s="292" t="s">
        <v>467</v>
      </c>
      <c r="B56" s="291" t="s">
        <v>498</v>
      </c>
      <c r="C56" s="291">
        <v>5905</v>
      </c>
    </row>
    <row r="57" spans="1:3" x14ac:dyDescent="0.3">
      <c r="A57" s="292" t="s">
        <v>455</v>
      </c>
      <c r="B57" s="291" t="s">
        <v>504</v>
      </c>
      <c r="C57" s="291">
        <v>5882</v>
      </c>
    </row>
    <row r="58" spans="1:3" x14ac:dyDescent="0.3">
      <c r="A58" s="292" t="s">
        <v>435</v>
      </c>
      <c r="B58" s="291" t="s">
        <v>504</v>
      </c>
      <c r="C58" s="291">
        <v>5841</v>
      </c>
    </row>
    <row r="59" spans="1:3" x14ac:dyDescent="0.3">
      <c r="A59" s="292" t="s">
        <v>365</v>
      </c>
      <c r="B59" s="291" t="s">
        <v>502</v>
      </c>
      <c r="C59" s="291">
        <v>5707</v>
      </c>
    </row>
    <row r="60" spans="1:3" x14ac:dyDescent="0.3">
      <c r="A60" s="292" t="s">
        <v>366</v>
      </c>
      <c r="B60" s="291" t="s">
        <v>502</v>
      </c>
      <c r="C60" s="291">
        <v>5708</v>
      </c>
    </row>
    <row r="61" spans="1:3" x14ac:dyDescent="0.3">
      <c r="A61" s="292" t="s">
        <v>468</v>
      </c>
      <c r="B61" s="291" t="s">
        <v>498</v>
      </c>
      <c r="C61" s="291">
        <v>5907</v>
      </c>
    </row>
    <row r="62" spans="1:3" x14ac:dyDescent="0.3">
      <c r="A62" s="292" t="s">
        <v>229</v>
      </c>
      <c r="B62" s="291" t="s">
        <v>499</v>
      </c>
      <c r="C62" s="291">
        <v>5475</v>
      </c>
    </row>
    <row r="63" spans="1:3" x14ac:dyDescent="0.3">
      <c r="A63" s="292" t="s">
        <v>319</v>
      </c>
      <c r="B63" s="291" t="s">
        <v>503</v>
      </c>
      <c r="C63" s="291">
        <v>5627</v>
      </c>
    </row>
    <row r="64" spans="1:3" x14ac:dyDescent="0.3">
      <c r="A64" s="292" t="s">
        <v>346</v>
      </c>
      <c r="B64" s="291" t="s">
        <v>500</v>
      </c>
      <c r="C64" s="291">
        <v>5665</v>
      </c>
    </row>
    <row r="65" spans="1:3" x14ac:dyDescent="0.3">
      <c r="A65" s="292" t="s">
        <v>399</v>
      </c>
      <c r="B65" s="291" t="s">
        <v>498</v>
      </c>
      <c r="C65" s="291">
        <v>5749</v>
      </c>
    </row>
    <row r="66" spans="1:3" x14ac:dyDescent="0.3">
      <c r="A66" s="292" t="s">
        <v>469</v>
      </c>
      <c r="B66" s="291" t="s">
        <v>498</v>
      </c>
      <c r="C66" s="291">
        <v>5908</v>
      </c>
    </row>
    <row r="67" spans="1:3" x14ac:dyDescent="0.3">
      <c r="A67" s="292" t="s">
        <v>519</v>
      </c>
      <c r="B67" s="291" t="s">
        <v>500</v>
      </c>
      <c r="C67" s="291">
        <v>5666</v>
      </c>
    </row>
    <row r="68" spans="1:3" x14ac:dyDescent="0.3">
      <c r="A68" s="292" t="s">
        <v>470</v>
      </c>
      <c r="B68" s="291" t="s">
        <v>498</v>
      </c>
      <c r="C68" s="291">
        <v>5909</v>
      </c>
    </row>
    <row r="69" spans="1:3" x14ac:dyDescent="0.3">
      <c r="A69" s="292" t="s">
        <v>296</v>
      </c>
      <c r="B69" s="291" t="s">
        <v>508</v>
      </c>
      <c r="C69" s="291">
        <v>5582</v>
      </c>
    </row>
    <row r="70" spans="1:3" x14ac:dyDescent="0.3">
      <c r="A70" s="292" t="s">
        <v>367</v>
      </c>
      <c r="B70" s="291" t="s">
        <v>502</v>
      </c>
      <c r="C70" s="291">
        <v>5709</v>
      </c>
    </row>
    <row r="71" spans="1:3" x14ac:dyDescent="0.3">
      <c r="A71" s="292" t="s">
        <v>192</v>
      </c>
      <c r="B71" s="291" t="s">
        <v>497</v>
      </c>
      <c r="C71" s="291">
        <v>5403</v>
      </c>
    </row>
    <row r="72" spans="1:3" x14ac:dyDescent="0.3">
      <c r="A72" s="292" t="s">
        <v>230</v>
      </c>
      <c r="B72" s="291" t="s">
        <v>499</v>
      </c>
      <c r="C72" s="291">
        <v>5476</v>
      </c>
    </row>
    <row r="73" spans="1:3" x14ac:dyDescent="0.3">
      <c r="A73" s="292" t="s">
        <v>425</v>
      </c>
      <c r="B73" s="291" t="s">
        <v>500</v>
      </c>
      <c r="C73" s="291">
        <v>5813</v>
      </c>
    </row>
    <row r="74" spans="1:3" x14ac:dyDescent="0.3">
      <c r="A74" s="292" t="s">
        <v>307</v>
      </c>
      <c r="B74" s="291" t="s">
        <v>505</v>
      </c>
      <c r="C74" s="291">
        <v>5601</v>
      </c>
    </row>
    <row r="75" spans="1:3" x14ac:dyDescent="0.3">
      <c r="A75" s="292" t="s">
        <v>320</v>
      </c>
      <c r="B75" s="291" t="s">
        <v>499</v>
      </c>
      <c r="C75" s="291">
        <v>5628</v>
      </c>
    </row>
    <row r="76" spans="1:3" x14ac:dyDescent="0.3">
      <c r="A76" s="292" t="s">
        <v>321</v>
      </c>
      <c r="B76" s="291" t="s">
        <v>499</v>
      </c>
      <c r="C76" s="291">
        <v>5629</v>
      </c>
    </row>
    <row r="77" spans="1:3" x14ac:dyDescent="0.3">
      <c r="A77" s="292" t="s">
        <v>368</v>
      </c>
      <c r="B77" s="291" t="s">
        <v>502</v>
      </c>
      <c r="C77" s="291">
        <v>5710</v>
      </c>
    </row>
    <row r="78" spans="1:3" x14ac:dyDescent="0.3">
      <c r="A78" s="292" t="s">
        <v>369</v>
      </c>
      <c r="B78" s="291" t="s">
        <v>502</v>
      </c>
      <c r="C78" s="291">
        <v>5711</v>
      </c>
    </row>
    <row r="79" spans="1:3" x14ac:dyDescent="0.3">
      <c r="A79" s="292" t="s">
        <v>282</v>
      </c>
      <c r="B79" s="291" t="s">
        <v>498</v>
      </c>
      <c r="C79" s="291">
        <v>5554</v>
      </c>
    </row>
    <row r="80" spans="1:3" x14ac:dyDescent="0.3">
      <c r="A80" s="292" t="s">
        <v>370</v>
      </c>
      <c r="B80" s="291" t="s">
        <v>502</v>
      </c>
      <c r="C80" s="291">
        <v>5712</v>
      </c>
    </row>
    <row r="81" spans="1:3" x14ac:dyDescent="0.3">
      <c r="A81" s="292" t="s">
        <v>193</v>
      </c>
      <c r="B81" s="291" t="s">
        <v>497</v>
      </c>
      <c r="C81" s="291">
        <v>5404</v>
      </c>
    </row>
    <row r="82" spans="1:3" x14ac:dyDescent="0.3">
      <c r="A82" s="292" t="s">
        <v>415</v>
      </c>
      <c r="B82" s="291" t="s">
        <v>500</v>
      </c>
      <c r="C82" s="291">
        <v>5785</v>
      </c>
    </row>
    <row r="83" spans="1:3" x14ac:dyDescent="0.3">
      <c r="A83" s="292" t="s">
        <v>283</v>
      </c>
      <c r="B83" s="291" t="s">
        <v>498</v>
      </c>
      <c r="C83" s="291">
        <v>5555</v>
      </c>
    </row>
    <row r="84" spans="1:3" x14ac:dyDescent="0.3">
      <c r="A84" s="292" t="s">
        <v>426</v>
      </c>
      <c r="B84" s="291" t="s">
        <v>500</v>
      </c>
      <c r="C84" s="291">
        <v>5816</v>
      </c>
    </row>
    <row r="85" spans="1:3" x14ac:dyDescent="0.3">
      <c r="A85" s="292" t="s">
        <v>518</v>
      </c>
      <c r="B85" s="291" t="s">
        <v>498</v>
      </c>
      <c r="C85" s="291">
        <v>5751</v>
      </c>
    </row>
    <row r="86" spans="1:3" x14ac:dyDescent="0.3">
      <c r="A86" s="292" t="s">
        <v>456</v>
      </c>
      <c r="B86" s="291" t="s">
        <v>504</v>
      </c>
      <c r="C86" s="291">
        <v>5883</v>
      </c>
    </row>
    <row r="87" spans="1:3" x14ac:dyDescent="0.3">
      <c r="A87" s="292" t="s">
        <v>457</v>
      </c>
      <c r="B87" s="291" t="s">
        <v>504</v>
      </c>
      <c r="C87" s="291">
        <v>5884</v>
      </c>
    </row>
    <row r="88" spans="1:3" x14ac:dyDescent="0.3">
      <c r="A88" s="292" t="s">
        <v>231</v>
      </c>
      <c r="B88" s="291" t="s">
        <v>499</v>
      </c>
      <c r="C88" s="291">
        <v>5477</v>
      </c>
    </row>
    <row r="89" spans="1:3" x14ac:dyDescent="0.3">
      <c r="A89" s="292" t="s">
        <v>232</v>
      </c>
      <c r="B89" s="291" t="s">
        <v>499</v>
      </c>
      <c r="C89" s="291">
        <v>5478</v>
      </c>
    </row>
    <row r="90" spans="1:3" x14ac:dyDescent="0.3">
      <c r="A90" s="292" t="s">
        <v>371</v>
      </c>
      <c r="B90" s="291" t="s">
        <v>502</v>
      </c>
      <c r="C90" s="291">
        <v>5713</v>
      </c>
    </row>
    <row r="91" spans="1:3" x14ac:dyDescent="0.3">
      <c r="A91" s="292" t="s">
        <v>372</v>
      </c>
      <c r="B91" s="291" t="s">
        <v>502</v>
      </c>
      <c r="C91" s="291">
        <v>5714</v>
      </c>
    </row>
    <row r="92" spans="1:3" x14ac:dyDescent="0.3">
      <c r="A92" s="292" t="s">
        <v>517</v>
      </c>
      <c r="B92" s="291" t="s">
        <v>500</v>
      </c>
      <c r="C92" s="291">
        <v>5668</v>
      </c>
    </row>
    <row r="93" spans="1:3" x14ac:dyDescent="0.3">
      <c r="A93" s="292" t="s">
        <v>297</v>
      </c>
      <c r="B93" s="291" t="s">
        <v>503</v>
      </c>
      <c r="C93" s="291">
        <v>5583</v>
      </c>
    </row>
    <row r="94" spans="1:3" x14ac:dyDescent="0.3">
      <c r="A94" s="292" t="s">
        <v>471</v>
      </c>
      <c r="B94" s="291" t="s">
        <v>498</v>
      </c>
      <c r="C94" s="291">
        <v>5910</v>
      </c>
    </row>
    <row r="95" spans="1:3" x14ac:dyDescent="0.3">
      <c r="A95" s="292" t="s">
        <v>401</v>
      </c>
      <c r="B95" s="291" t="s">
        <v>498</v>
      </c>
      <c r="C95" s="291">
        <v>5752</v>
      </c>
    </row>
    <row r="96" spans="1:3" x14ac:dyDescent="0.3">
      <c r="A96" s="292" t="s">
        <v>233</v>
      </c>
      <c r="B96" s="291" t="s">
        <v>499</v>
      </c>
      <c r="C96" s="291">
        <v>5479</v>
      </c>
    </row>
    <row r="97" spans="1:3" x14ac:dyDescent="0.3">
      <c r="A97" s="292" t="s">
        <v>472</v>
      </c>
      <c r="B97" s="291" t="s">
        <v>498</v>
      </c>
      <c r="C97" s="291">
        <v>5911</v>
      </c>
    </row>
    <row r="98" spans="1:3" x14ac:dyDescent="0.3">
      <c r="A98" s="292" t="s">
        <v>222</v>
      </c>
      <c r="B98" s="291" t="s">
        <v>500</v>
      </c>
      <c r="C98" s="291">
        <v>5456</v>
      </c>
    </row>
    <row r="99" spans="1:3" x14ac:dyDescent="0.3">
      <c r="A99" s="292" t="s">
        <v>262</v>
      </c>
      <c r="B99" s="291" t="s">
        <v>501</v>
      </c>
      <c r="C99" s="291">
        <v>5516</v>
      </c>
    </row>
    <row r="100" spans="1:3" x14ac:dyDescent="0.3">
      <c r="A100" s="292" t="s">
        <v>347</v>
      </c>
      <c r="B100" s="291" t="s">
        <v>500</v>
      </c>
      <c r="C100" s="291">
        <v>5669</v>
      </c>
    </row>
    <row r="101" spans="1:3" x14ac:dyDescent="0.3">
      <c r="A101" s="292" t="s">
        <v>234</v>
      </c>
      <c r="B101" s="291" t="s">
        <v>501</v>
      </c>
      <c r="C101" s="291">
        <v>5480</v>
      </c>
    </row>
    <row r="102" spans="1:3" x14ac:dyDescent="0.3">
      <c r="A102" s="292" t="s">
        <v>473</v>
      </c>
      <c r="B102" s="291" t="s">
        <v>498</v>
      </c>
      <c r="C102" s="291">
        <v>5912</v>
      </c>
    </row>
    <row r="103" spans="1:3" x14ac:dyDescent="0.3">
      <c r="A103" s="292" t="s">
        <v>322</v>
      </c>
      <c r="B103" s="291" t="s">
        <v>499</v>
      </c>
      <c r="C103" s="291">
        <v>5631</v>
      </c>
    </row>
    <row r="104" spans="1:3" x14ac:dyDescent="0.3">
      <c r="A104" s="292" t="s">
        <v>323</v>
      </c>
      <c r="B104" s="291" t="s">
        <v>499</v>
      </c>
      <c r="C104" s="291">
        <v>5632</v>
      </c>
    </row>
    <row r="105" spans="1:3" x14ac:dyDescent="0.3">
      <c r="A105" s="292" t="s">
        <v>235</v>
      </c>
      <c r="B105" s="291" t="s">
        <v>499</v>
      </c>
      <c r="C105" s="291">
        <v>5481</v>
      </c>
    </row>
    <row r="106" spans="1:3" x14ac:dyDescent="0.3">
      <c r="A106" s="292" t="s">
        <v>348</v>
      </c>
      <c r="B106" s="291" t="s">
        <v>500</v>
      </c>
      <c r="C106" s="291">
        <v>5671</v>
      </c>
    </row>
    <row r="107" spans="1:3" x14ac:dyDescent="0.3">
      <c r="A107" s="292" t="s">
        <v>474</v>
      </c>
      <c r="B107" s="291" t="s">
        <v>498</v>
      </c>
      <c r="C107" s="291">
        <v>5913</v>
      </c>
    </row>
    <row r="108" spans="1:3" x14ac:dyDescent="0.3">
      <c r="A108" s="292" t="s">
        <v>373</v>
      </c>
      <c r="B108" s="291" t="s">
        <v>502</v>
      </c>
      <c r="C108" s="291">
        <v>5715</v>
      </c>
    </row>
    <row r="109" spans="1:3" x14ac:dyDescent="0.3">
      <c r="A109" s="292" t="s">
        <v>442</v>
      </c>
      <c r="B109" s="291" t="s">
        <v>502</v>
      </c>
      <c r="C109" s="291">
        <v>5855</v>
      </c>
    </row>
    <row r="110" spans="1:3" x14ac:dyDescent="0.3">
      <c r="A110" s="292" t="s">
        <v>263</v>
      </c>
      <c r="B110" s="291" t="s">
        <v>501</v>
      </c>
      <c r="C110" s="291">
        <v>5518</v>
      </c>
    </row>
    <row r="111" spans="1:3" x14ac:dyDescent="0.3">
      <c r="A111" s="292" t="s">
        <v>324</v>
      </c>
      <c r="B111" s="291" t="s">
        <v>499</v>
      </c>
      <c r="C111" s="291">
        <v>5633</v>
      </c>
    </row>
    <row r="112" spans="1:3" x14ac:dyDescent="0.3">
      <c r="A112" s="292" t="s">
        <v>325</v>
      </c>
      <c r="B112" s="291" t="s">
        <v>499</v>
      </c>
      <c r="C112" s="291">
        <v>5634</v>
      </c>
    </row>
    <row r="113" spans="1:3" x14ac:dyDescent="0.3">
      <c r="A113" s="292" t="s">
        <v>236</v>
      </c>
      <c r="B113" s="291" t="s">
        <v>499</v>
      </c>
      <c r="C113" s="291">
        <v>5482</v>
      </c>
    </row>
    <row r="114" spans="1:3" x14ac:dyDescent="0.3">
      <c r="A114" s="292" t="s">
        <v>326</v>
      </c>
      <c r="B114" s="291" t="s">
        <v>503</v>
      </c>
      <c r="C114" s="291">
        <v>5635</v>
      </c>
    </row>
    <row r="115" spans="1:3" x14ac:dyDescent="0.3">
      <c r="A115" s="292" t="s">
        <v>298</v>
      </c>
      <c r="B115" s="291" t="s">
        <v>508</v>
      </c>
      <c r="C115" s="291">
        <v>5584</v>
      </c>
    </row>
    <row r="116" spans="1:3" x14ac:dyDescent="0.3">
      <c r="A116" s="292" t="s">
        <v>475</v>
      </c>
      <c r="B116" s="291" t="s">
        <v>498</v>
      </c>
      <c r="C116" s="291">
        <v>5914</v>
      </c>
    </row>
    <row r="117" spans="1:3" x14ac:dyDescent="0.3">
      <c r="A117" s="292" t="s">
        <v>416</v>
      </c>
      <c r="B117" s="291" t="s">
        <v>505</v>
      </c>
      <c r="C117" s="291">
        <v>5788</v>
      </c>
    </row>
    <row r="118" spans="1:3" x14ac:dyDescent="0.3">
      <c r="A118" s="292" t="s">
        <v>443</v>
      </c>
      <c r="B118" s="291" t="s">
        <v>502</v>
      </c>
      <c r="C118" s="291">
        <v>5856</v>
      </c>
    </row>
    <row r="119" spans="1:3" x14ac:dyDescent="0.3">
      <c r="A119" s="292" t="s">
        <v>264</v>
      </c>
      <c r="B119" s="291" t="s">
        <v>501</v>
      </c>
      <c r="C119" s="291">
        <v>5520</v>
      </c>
    </row>
    <row r="120" spans="1:3" x14ac:dyDescent="0.3">
      <c r="A120" s="292" t="s">
        <v>516</v>
      </c>
      <c r="B120" s="291" t="s">
        <v>498</v>
      </c>
      <c r="C120" s="291">
        <v>5915</v>
      </c>
    </row>
    <row r="121" spans="1:3" x14ac:dyDescent="0.3">
      <c r="A121" s="292" t="s">
        <v>265</v>
      </c>
      <c r="B121" s="291" t="s">
        <v>501</v>
      </c>
      <c r="C121" s="291">
        <v>5521</v>
      </c>
    </row>
    <row r="122" spans="1:3" x14ac:dyDescent="0.3">
      <c r="A122" s="292" t="s">
        <v>327</v>
      </c>
      <c r="B122" s="291" t="s">
        <v>499</v>
      </c>
      <c r="C122" s="291">
        <v>5636</v>
      </c>
    </row>
    <row r="123" spans="1:3" x14ac:dyDescent="0.3">
      <c r="A123" s="292" t="s">
        <v>374</v>
      </c>
      <c r="B123" s="291" t="s">
        <v>502</v>
      </c>
      <c r="C123" s="291">
        <v>5716</v>
      </c>
    </row>
    <row r="124" spans="1:3" x14ac:dyDescent="0.3">
      <c r="A124" s="292" t="s">
        <v>223</v>
      </c>
      <c r="B124" s="291" t="s">
        <v>500</v>
      </c>
      <c r="C124" s="291">
        <v>5458</v>
      </c>
    </row>
    <row r="125" spans="1:3" x14ac:dyDescent="0.3">
      <c r="A125" s="292" t="s">
        <v>211</v>
      </c>
      <c r="B125" s="291" t="s">
        <v>499</v>
      </c>
      <c r="C125" s="291">
        <v>5427</v>
      </c>
    </row>
    <row r="126" spans="1:3" x14ac:dyDescent="0.3">
      <c r="A126" s="292" t="s">
        <v>515</v>
      </c>
      <c r="B126" s="291" t="s">
        <v>505</v>
      </c>
      <c r="C126" s="291">
        <v>5789</v>
      </c>
    </row>
    <row r="127" spans="1:3" x14ac:dyDescent="0.3">
      <c r="A127" s="292" t="s">
        <v>237</v>
      </c>
      <c r="B127" s="291" t="s">
        <v>499</v>
      </c>
      <c r="C127" s="291">
        <v>5483</v>
      </c>
    </row>
    <row r="128" spans="1:3" x14ac:dyDescent="0.3">
      <c r="A128" s="292" t="s">
        <v>266</v>
      </c>
      <c r="B128" s="291" t="s">
        <v>501</v>
      </c>
      <c r="C128" s="291">
        <v>5522</v>
      </c>
    </row>
    <row r="129" spans="1:3" x14ac:dyDescent="0.3">
      <c r="A129" s="292" t="s">
        <v>284</v>
      </c>
      <c r="B129" s="291" t="s">
        <v>498</v>
      </c>
      <c r="C129" s="291">
        <v>5556</v>
      </c>
    </row>
    <row r="130" spans="1:3" x14ac:dyDescent="0.3">
      <c r="A130" s="292" t="s">
        <v>285</v>
      </c>
      <c r="B130" s="291" t="s">
        <v>498</v>
      </c>
      <c r="C130" s="291">
        <v>5557</v>
      </c>
    </row>
    <row r="131" spans="1:3" x14ac:dyDescent="0.3">
      <c r="A131" s="292" t="s">
        <v>308</v>
      </c>
      <c r="B131" s="291" t="s">
        <v>505</v>
      </c>
      <c r="C131" s="291">
        <v>5604</v>
      </c>
    </row>
    <row r="132" spans="1:3" x14ac:dyDescent="0.3">
      <c r="A132" s="292" t="s">
        <v>514</v>
      </c>
      <c r="B132" s="291" t="s">
        <v>500</v>
      </c>
      <c r="C132" s="291">
        <v>5672</v>
      </c>
    </row>
    <row r="133" spans="1:3" x14ac:dyDescent="0.3">
      <c r="A133" s="292" t="s">
        <v>375</v>
      </c>
      <c r="B133" s="291" t="s">
        <v>502</v>
      </c>
      <c r="C133" s="291">
        <v>5717</v>
      </c>
    </row>
    <row r="134" spans="1:3" x14ac:dyDescent="0.3">
      <c r="A134" s="292" t="s">
        <v>267</v>
      </c>
      <c r="B134" s="291" t="s">
        <v>501</v>
      </c>
      <c r="C134" s="291">
        <v>5523</v>
      </c>
    </row>
    <row r="135" spans="1:3" x14ac:dyDescent="0.3">
      <c r="A135" s="292" t="s">
        <v>376</v>
      </c>
      <c r="B135" s="291" t="s">
        <v>502</v>
      </c>
      <c r="C135" s="291">
        <v>5718</v>
      </c>
    </row>
    <row r="136" spans="1:3" x14ac:dyDescent="0.3">
      <c r="A136" s="292" t="s">
        <v>286</v>
      </c>
      <c r="B136" s="291" t="s">
        <v>498</v>
      </c>
      <c r="C136" s="291">
        <v>5559</v>
      </c>
    </row>
    <row r="137" spans="1:3" x14ac:dyDescent="0.3">
      <c r="A137" s="292" t="s">
        <v>444</v>
      </c>
      <c r="B137" s="291" t="s">
        <v>502</v>
      </c>
      <c r="C137" s="291">
        <v>5857</v>
      </c>
    </row>
    <row r="138" spans="1:3" x14ac:dyDescent="0.3">
      <c r="A138" s="292" t="s">
        <v>212</v>
      </c>
      <c r="B138" s="291" t="s">
        <v>499</v>
      </c>
      <c r="C138" s="291">
        <v>5428</v>
      </c>
    </row>
    <row r="139" spans="1:3" x14ac:dyDescent="0.3">
      <c r="A139" s="292" t="s">
        <v>377</v>
      </c>
      <c r="B139" s="291" t="s">
        <v>502</v>
      </c>
      <c r="C139" s="291">
        <v>5719</v>
      </c>
    </row>
    <row r="140" spans="1:3" x14ac:dyDescent="0.3">
      <c r="A140" s="292" t="s">
        <v>378</v>
      </c>
      <c r="B140" s="291" t="s">
        <v>502</v>
      </c>
      <c r="C140" s="291">
        <v>5720</v>
      </c>
    </row>
    <row r="141" spans="1:3" x14ac:dyDescent="0.3">
      <c r="A141" s="292" t="s">
        <v>379</v>
      </c>
      <c r="B141" s="291" t="s">
        <v>502</v>
      </c>
      <c r="C141" s="291">
        <v>5721</v>
      </c>
    </row>
    <row r="142" spans="1:3" x14ac:dyDescent="0.3">
      <c r="A142" s="292" t="s">
        <v>238</v>
      </c>
      <c r="B142" s="291" t="s">
        <v>499</v>
      </c>
      <c r="C142" s="291">
        <v>5484</v>
      </c>
    </row>
    <row r="143" spans="1:3" x14ac:dyDescent="0.3">
      <c r="A143" s="292" t="s">
        <v>278</v>
      </c>
      <c r="B143" s="291" t="s">
        <v>501</v>
      </c>
      <c r="C143" s="291">
        <v>5541</v>
      </c>
    </row>
    <row r="144" spans="1:3" x14ac:dyDescent="0.3">
      <c r="A144" s="292" t="s">
        <v>239</v>
      </c>
      <c r="B144" s="291" t="s">
        <v>499</v>
      </c>
      <c r="C144" s="291">
        <v>5485</v>
      </c>
    </row>
    <row r="145" spans="1:3" x14ac:dyDescent="0.3">
      <c r="A145" s="292" t="s">
        <v>427</v>
      </c>
      <c r="B145" s="291" t="s">
        <v>500</v>
      </c>
      <c r="C145" s="291">
        <v>5817</v>
      </c>
    </row>
    <row r="146" spans="1:3" x14ac:dyDescent="0.3">
      <c r="A146" s="292" t="s">
        <v>287</v>
      </c>
      <c r="B146" s="291" t="s">
        <v>498</v>
      </c>
      <c r="C146" s="291">
        <v>5560</v>
      </c>
    </row>
    <row r="147" spans="1:3" x14ac:dyDescent="0.3">
      <c r="A147" s="292" t="s">
        <v>288</v>
      </c>
      <c r="B147" s="291" t="s">
        <v>498</v>
      </c>
      <c r="C147" s="291">
        <v>5561</v>
      </c>
    </row>
    <row r="148" spans="1:3" x14ac:dyDescent="0.3">
      <c r="A148" s="292" t="s">
        <v>380</v>
      </c>
      <c r="B148" s="291" t="s">
        <v>502</v>
      </c>
      <c r="C148" s="291">
        <v>5722</v>
      </c>
    </row>
    <row r="149" spans="1:3" x14ac:dyDescent="0.3">
      <c r="A149" s="292" t="s">
        <v>194</v>
      </c>
      <c r="B149" s="291" t="s">
        <v>497</v>
      </c>
      <c r="C149" s="291">
        <v>5405</v>
      </c>
    </row>
    <row r="150" spans="1:3" x14ac:dyDescent="0.3">
      <c r="A150" s="292" t="s">
        <v>428</v>
      </c>
      <c r="B150" s="291" t="s">
        <v>500</v>
      </c>
      <c r="C150" s="291">
        <v>5819</v>
      </c>
    </row>
    <row r="151" spans="1:3" x14ac:dyDescent="0.3">
      <c r="A151" s="292" t="s">
        <v>349</v>
      </c>
      <c r="B151" s="291" t="s">
        <v>500</v>
      </c>
      <c r="C151" s="291">
        <v>5673</v>
      </c>
    </row>
    <row r="152" spans="1:3" x14ac:dyDescent="0.3">
      <c r="A152" s="292" t="s">
        <v>458</v>
      </c>
      <c r="B152" s="291" t="s">
        <v>504</v>
      </c>
      <c r="C152" s="291">
        <v>5885</v>
      </c>
    </row>
    <row r="153" spans="1:3" x14ac:dyDescent="0.3">
      <c r="A153" s="292" t="s">
        <v>422</v>
      </c>
      <c r="B153" s="291" t="s">
        <v>501</v>
      </c>
      <c r="C153" s="291">
        <v>5804</v>
      </c>
    </row>
    <row r="154" spans="1:3" x14ac:dyDescent="0.3">
      <c r="A154" s="292" t="s">
        <v>299</v>
      </c>
      <c r="B154" s="291" t="s">
        <v>508</v>
      </c>
      <c r="C154" s="291">
        <v>5585</v>
      </c>
    </row>
    <row r="155" spans="1:3" x14ac:dyDescent="0.3">
      <c r="A155" s="292" t="s">
        <v>402</v>
      </c>
      <c r="B155" s="291" t="s">
        <v>498</v>
      </c>
      <c r="C155" s="291">
        <v>5754</v>
      </c>
    </row>
    <row r="156" spans="1:3" x14ac:dyDescent="0.3">
      <c r="A156" s="292" t="s">
        <v>228</v>
      </c>
      <c r="B156" s="291" t="s">
        <v>499</v>
      </c>
      <c r="C156" s="291">
        <v>5474</v>
      </c>
    </row>
    <row r="157" spans="1:3" x14ac:dyDescent="0.3">
      <c r="A157" s="292" t="s">
        <v>406</v>
      </c>
      <c r="B157" s="291" t="s">
        <v>498</v>
      </c>
      <c r="C157" s="291">
        <v>5758</v>
      </c>
    </row>
    <row r="158" spans="1:3" x14ac:dyDescent="0.3">
      <c r="A158" s="292" t="s">
        <v>384</v>
      </c>
      <c r="B158" s="291" t="s">
        <v>502</v>
      </c>
      <c r="C158" s="291">
        <v>5726</v>
      </c>
    </row>
    <row r="159" spans="1:3" x14ac:dyDescent="0.3">
      <c r="A159" s="292" t="s">
        <v>252</v>
      </c>
      <c r="B159" s="291" t="s">
        <v>499</v>
      </c>
      <c r="C159" s="291">
        <v>5498</v>
      </c>
    </row>
    <row r="160" spans="1:3" x14ac:dyDescent="0.3">
      <c r="A160" s="292" t="s">
        <v>461</v>
      </c>
      <c r="B160" s="291" t="s">
        <v>504</v>
      </c>
      <c r="C160" s="291">
        <v>5889</v>
      </c>
    </row>
    <row r="161" spans="1:3" x14ac:dyDescent="0.3">
      <c r="A161" s="292" t="s">
        <v>451</v>
      </c>
      <c r="B161" s="291" t="s">
        <v>498</v>
      </c>
      <c r="C161" s="291">
        <v>5871</v>
      </c>
    </row>
    <row r="162" spans="1:3" x14ac:dyDescent="0.3">
      <c r="A162" s="292" t="s">
        <v>391</v>
      </c>
      <c r="B162" s="291" t="s">
        <v>498</v>
      </c>
      <c r="C162" s="291">
        <v>5741</v>
      </c>
    </row>
    <row r="163" spans="1:3" x14ac:dyDescent="0.3">
      <c r="A163" s="292" t="s">
        <v>300</v>
      </c>
      <c r="B163" s="291" t="s">
        <v>508</v>
      </c>
      <c r="C163" s="291">
        <v>5586</v>
      </c>
    </row>
    <row r="164" spans="1:3" x14ac:dyDescent="0.3">
      <c r="A164" s="292" t="s">
        <v>195</v>
      </c>
      <c r="B164" s="291" t="s">
        <v>497</v>
      </c>
      <c r="C164" s="291">
        <v>5406</v>
      </c>
    </row>
    <row r="165" spans="1:3" x14ac:dyDescent="0.3">
      <c r="A165" s="292" t="s">
        <v>328</v>
      </c>
      <c r="B165" s="291" t="s">
        <v>499</v>
      </c>
      <c r="C165" s="291">
        <v>5637</v>
      </c>
    </row>
    <row r="166" spans="1:3" x14ac:dyDescent="0.3">
      <c r="A166" s="292" t="s">
        <v>513</v>
      </c>
      <c r="B166" s="291" t="s">
        <v>498</v>
      </c>
      <c r="C166" s="291" t="e">
        <v>#N/A</v>
      </c>
    </row>
    <row r="167" spans="1:3" x14ac:dyDescent="0.3">
      <c r="A167" s="292" t="s">
        <v>452</v>
      </c>
      <c r="B167" s="291" t="s">
        <v>498</v>
      </c>
      <c r="C167" s="291">
        <v>5872</v>
      </c>
    </row>
    <row r="168" spans="1:3" x14ac:dyDescent="0.3">
      <c r="A168" s="292" t="s">
        <v>453</v>
      </c>
      <c r="B168" s="291" t="s">
        <v>498</v>
      </c>
      <c r="C168" s="291">
        <v>5873</v>
      </c>
    </row>
    <row r="169" spans="1:3" x14ac:dyDescent="0.3">
      <c r="A169" s="292" t="s">
        <v>301</v>
      </c>
      <c r="B169" s="291" t="s">
        <v>508</v>
      </c>
      <c r="C169" s="291">
        <v>5587</v>
      </c>
    </row>
    <row r="170" spans="1:3" x14ac:dyDescent="0.3">
      <c r="A170" s="292" t="s">
        <v>512</v>
      </c>
      <c r="B170" s="291" t="s">
        <v>498</v>
      </c>
      <c r="C170" s="291" t="e">
        <v>#N/A</v>
      </c>
    </row>
    <row r="171" spans="1:3" x14ac:dyDescent="0.3">
      <c r="A171" s="292" t="s">
        <v>389</v>
      </c>
      <c r="B171" s="291" t="s">
        <v>502</v>
      </c>
      <c r="C171" s="291">
        <v>5731</v>
      </c>
    </row>
    <row r="172" spans="1:3" x14ac:dyDescent="0.3">
      <c r="A172" s="292" t="s">
        <v>511</v>
      </c>
      <c r="B172" s="291" t="s">
        <v>498</v>
      </c>
      <c r="C172" s="291" t="e">
        <v>#N/A</v>
      </c>
    </row>
    <row r="173" spans="1:3" x14ac:dyDescent="0.3">
      <c r="A173" s="292" t="s">
        <v>400</v>
      </c>
      <c r="B173" s="291" t="s">
        <v>498</v>
      </c>
      <c r="C173" s="291">
        <v>5750</v>
      </c>
    </row>
    <row r="174" spans="1:3" x14ac:dyDescent="0.3">
      <c r="A174" s="292" t="s">
        <v>196</v>
      </c>
      <c r="B174" s="291" t="s">
        <v>497</v>
      </c>
      <c r="C174" s="291">
        <v>5407</v>
      </c>
    </row>
    <row r="175" spans="1:3" x14ac:dyDescent="0.3">
      <c r="A175" s="292" t="s">
        <v>403</v>
      </c>
      <c r="B175" s="291" t="s">
        <v>498</v>
      </c>
      <c r="C175" s="291">
        <v>5755</v>
      </c>
    </row>
    <row r="176" spans="1:3" x14ac:dyDescent="0.3">
      <c r="A176" s="292" t="s">
        <v>240</v>
      </c>
      <c r="B176" s="291" t="s">
        <v>499</v>
      </c>
      <c r="C176" s="291">
        <v>5486</v>
      </c>
    </row>
    <row r="177" spans="1:3" x14ac:dyDescent="0.3">
      <c r="A177" s="292" t="s">
        <v>329</v>
      </c>
      <c r="B177" s="291" t="s">
        <v>499</v>
      </c>
      <c r="C177" s="291">
        <v>5638</v>
      </c>
    </row>
    <row r="178" spans="1:3" x14ac:dyDescent="0.3">
      <c r="A178" s="292" t="s">
        <v>213</v>
      </c>
      <c r="B178" s="291" t="s">
        <v>502</v>
      </c>
      <c r="C178" s="291">
        <v>5429</v>
      </c>
    </row>
    <row r="179" spans="1:3" x14ac:dyDescent="0.3">
      <c r="A179" s="292" t="s">
        <v>510</v>
      </c>
      <c r="B179" s="291" t="s">
        <v>498</v>
      </c>
      <c r="C179" s="291" t="e">
        <v>#N/A</v>
      </c>
    </row>
    <row r="180" spans="1:3" x14ac:dyDescent="0.3">
      <c r="A180" s="292" t="s">
        <v>350</v>
      </c>
      <c r="B180" s="291" t="s">
        <v>500</v>
      </c>
      <c r="C180" s="291">
        <v>5674</v>
      </c>
    </row>
    <row r="181" spans="1:3" x14ac:dyDescent="0.3">
      <c r="A181" s="292" t="s">
        <v>351</v>
      </c>
      <c r="B181" s="291" t="s">
        <v>500</v>
      </c>
      <c r="C181" s="291">
        <v>5675</v>
      </c>
    </row>
    <row r="182" spans="1:3" x14ac:dyDescent="0.3">
      <c r="A182" s="292" t="s">
        <v>445</v>
      </c>
      <c r="B182" s="291" t="s">
        <v>502</v>
      </c>
      <c r="C182" s="291">
        <v>5858</v>
      </c>
    </row>
    <row r="183" spans="1:3" x14ac:dyDescent="0.3">
      <c r="A183" s="292" t="s">
        <v>330</v>
      </c>
      <c r="B183" s="291" t="s">
        <v>499</v>
      </c>
      <c r="C183" s="291">
        <v>5639</v>
      </c>
    </row>
    <row r="184" spans="1:3" x14ac:dyDescent="0.3">
      <c r="A184" s="292" t="s">
        <v>241</v>
      </c>
      <c r="B184" s="291" t="s">
        <v>501</v>
      </c>
      <c r="C184" s="291">
        <v>5487</v>
      </c>
    </row>
    <row r="185" spans="1:3" x14ac:dyDescent="0.3">
      <c r="A185" s="292" t="s">
        <v>189</v>
      </c>
      <c r="B185" s="291" t="s">
        <v>499</v>
      </c>
      <c r="C185" s="291">
        <v>5640</v>
      </c>
    </row>
    <row r="186" spans="1:3" x14ac:dyDescent="0.3">
      <c r="A186" s="292" t="s">
        <v>309</v>
      </c>
      <c r="B186" s="291" t="s">
        <v>505</v>
      </c>
      <c r="C186" s="291">
        <v>5606</v>
      </c>
    </row>
    <row r="187" spans="1:3" x14ac:dyDescent="0.3">
      <c r="A187" s="292" t="s">
        <v>417</v>
      </c>
      <c r="B187" s="291" t="s">
        <v>505</v>
      </c>
      <c r="C187" s="291">
        <v>5790</v>
      </c>
    </row>
    <row r="188" spans="1:3" x14ac:dyDescent="0.3">
      <c r="A188" s="292" t="s">
        <v>214</v>
      </c>
      <c r="B188" s="291" t="s">
        <v>502</v>
      </c>
      <c r="C188" s="291">
        <v>5430</v>
      </c>
    </row>
    <row r="189" spans="1:3" x14ac:dyDescent="0.3">
      <c r="A189" s="292" t="s">
        <v>476</v>
      </c>
      <c r="B189" s="291" t="s">
        <v>498</v>
      </c>
      <c r="C189" s="291">
        <v>5919</v>
      </c>
    </row>
    <row r="190" spans="1:3" x14ac:dyDescent="0.3">
      <c r="A190" s="292" t="s">
        <v>289</v>
      </c>
      <c r="B190" s="291" t="s">
        <v>498</v>
      </c>
      <c r="C190" s="291">
        <v>5562</v>
      </c>
    </row>
    <row r="191" spans="1:3" x14ac:dyDescent="0.3">
      <c r="A191" s="292" t="s">
        <v>242</v>
      </c>
      <c r="B191" s="291" t="s">
        <v>499</v>
      </c>
      <c r="C191" s="291">
        <v>5488</v>
      </c>
    </row>
    <row r="192" spans="1:3" x14ac:dyDescent="0.3">
      <c r="A192" s="292" t="s">
        <v>243</v>
      </c>
      <c r="B192" s="291" t="s">
        <v>501</v>
      </c>
      <c r="C192" s="291">
        <v>5489</v>
      </c>
    </row>
    <row r="193" spans="1:3" x14ac:dyDescent="0.3">
      <c r="A193" s="292" t="s">
        <v>509</v>
      </c>
      <c r="B193" s="291" t="s">
        <v>505</v>
      </c>
      <c r="C193" s="291">
        <v>5791</v>
      </c>
    </row>
    <row r="194" spans="1:3" x14ac:dyDescent="0.3">
      <c r="A194" s="292" t="s">
        <v>381</v>
      </c>
      <c r="B194" s="291" t="s">
        <v>502</v>
      </c>
      <c r="C194" s="291">
        <v>5723</v>
      </c>
    </row>
    <row r="195" spans="1:3" x14ac:dyDescent="0.3">
      <c r="A195" s="292" t="s">
        <v>429</v>
      </c>
      <c r="B195" s="291" t="s">
        <v>500</v>
      </c>
      <c r="C195" s="291">
        <v>5821</v>
      </c>
    </row>
    <row r="196" spans="1:3" x14ac:dyDescent="0.3">
      <c r="A196" s="292" t="s">
        <v>244</v>
      </c>
      <c r="B196" s="291" t="s">
        <v>499</v>
      </c>
      <c r="C196" s="291">
        <v>5490</v>
      </c>
    </row>
    <row r="197" spans="1:3" x14ac:dyDescent="0.3">
      <c r="A197" s="292" t="s">
        <v>215</v>
      </c>
      <c r="B197" s="291" t="s">
        <v>499</v>
      </c>
      <c r="C197" s="291">
        <v>5431</v>
      </c>
    </row>
    <row r="198" spans="1:3" x14ac:dyDescent="0.3">
      <c r="A198" s="292" t="s">
        <v>477</v>
      </c>
      <c r="B198" s="291" t="s">
        <v>498</v>
      </c>
      <c r="C198" s="291">
        <v>5921</v>
      </c>
    </row>
    <row r="199" spans="1:3" x14ac:dyDescent="0.3">
      <c r="A199" s="292" t="s">
        <v>478</v>
      </c>
      <c r="B199" s="291" t="s">
        <v>498</v>
      </c>
      <c r="C199" s="291">
        <v>5922</v>
      </c>
    </row>
    <row r="200" spans="1:3" x14ac:dyDescent="0.3">
      <c r="A200" s="292" t="s">
        <v>359</v>
      </c>
      <c r="B200" s="291" t="s">
        <v>501</v>
      </c>
      <c r="C200" s="291">
        <v>5693</v>
      </c>
    </row>
    <row r="201" spans="1:3" x14ac:dyDescent="0.3">
      <c r="A201" s="292" t="s">
        <v>404</v>
      </c>
      <c r="B201" s="291" t="s">
        <v>498</v>
      </c>
      <c r="C201" s="291">
        <v>5756</v>
      </c>
    </row>
    <row r="202" spans="1:3" x14ac:dyDescent="0.3">
      <c r="A202" s="292" t="s">
        <v>216</v>
      </c>
      <c r="B202" s="291" t="s">
        <v>499</v>
      </c>
      <c r="C202" s="291">
        <v>5432</v>
      </c>
    </row>
    <row r="203" spans="1:3" x14ac:dyDescent="0.3">
      <c r="A203" s="292" t="s">
        <v>277</v>
      </c>
      <c r="B203" s="291" t="s">
        <v>501</v>
      </c>
      <c r="C203" s="291">
        <v>5540</v>
      </c>
    </row>
    <row r="204" spans="1:3" x14ac:dyDescent="0.3">
      <c r="A204" s="292" t="s">
        <v>245</v>
      </c>
      <c r="B204" s="291" t="s">
        <v>499</v>
      </c>
      <c r="C204" s="291">
        <v>5491</v>
      </c>
    </row>
    <row r="205" spans="1:3" x14ac:dyDescent="0.3">
      <c r="A205" s="292" t="s">
        <v>418</v>
      </c>
      <c r="B205" s="291" t="s">
        <v>505</v>
      </c>
      <c r="C205" s="291">
        <v>5792</v>
      </c>
    </row>
    <row r="206" spans="1:3" x14ac:dyDescent="0.3">
      <c r="A206" s="292" t="s">
        <v>459</v>
      </c>
      <c r="B206" s="291" t="s">
        <v>504</v>
      </c>
      <c r="C206" s="291">
        <v>5886</v>
      </c>
    </row>
    <row r="207" spans="1:3" x14ac:dyDescent="0.3">
      <c r="A207" s="292" t="s">
        <v>246</v>
      </c>
      <c r="B207" s="291" t="s">
        <v>499</v>
      </c>
      <c r="C207" s="291">
        <v>5492</v>
      </c>
    </row>
    <row r="208" spans="1:3" x14ac:dyDescent="0.3">
      <c r="A208" s="292" t="s">
        <v>446</v>
      </c>
      <c r="B208" s="291" t="s">
        <v>502</v>
      </c>
      <c r="C208" s="291">
        <v>5859</v>
      </c>
    </row>
    <row r="209" spans="1:3" x14ac:dyDescent="0.3">
      <c r="A209" s="292" t="s">
        <v>331</v>
      </c>
      <c r="B209" s="291" t="s">
        <v>499</v>
      </c>
      <c r="C209" s="291">
        <v>5642</v>
      </c>
    </row>
    <row r="210" spans="1:3" x14ac:dyDescent="0.3">
      <c r="A210" s="292" t="s">
        <v>268</v>
      </c>
      <c r="B210" s="291" t="s">
        <v>501</v>
      </c>
      <c r="C210" s="291">
        <v>5527</v>
      </c>
    </row>
    <row r="211" spans="1:3" x14ac:dyDescent="0.3">
      <c r="A211" s="292" t="s">
        <v>352</v>
      </c>
      <c r="B211" s="291" t="s">
        <v>500</v>
      </c>
      <c r="C211" s="291">
        <v>5678</v>
      </c>
    </row>
    <row r="212" spans="1:3" x14ac:dyDescent="0.3">
      <c r="A212" s="292" t="s">
        <v>290</v>
      </c>
      <c r="B212" s="291" t="s">
        <v>498</v>
      </c>
      <c r="C212" s="291">
        <v>5563</v>
      </c>
    </row>
    <row r="213" spans="1:3" x14ac:dyDescent="0.3">
      <c r="A213" s="292" t="s">
        <v>291</v>
      </c>
      <c r="B213" s="291" t="s">
        <v>498</v>
      </c>
      <c r="C213" s="291">
        <v>5564</v>
      </c>
    </row>
    <row r="214" spans="1:3" x14ac:dyDescent="0.3">
      <c r="A214" s="292" t="s">
        <v>197</v>
      </c>
      <c r="B214" s="291" t="s">
        <v>497</v>
      </c>
      <c r="C214" s="291">
        <v>5408</v>
      </c>
    </row>
    <row r="215" spans="1:3" x14ac:dyDescent="0.3">
      <c r="A215" s="292" t="s">
        <v>382</v>
      </c>
      <c r="B215" s="291" t="s">
        <v>502</v>
      </c>
      <c r="C215" s="291">
        <v>5724</v>
      </c>
    </row>
    <row r="216" spans="1:3" x14ac:dyDescent="0.3">
      <c r="A216" s="292" t="s">
        <v>353</v>
      </c>
      <c r="B216" s="291" t="s">
        <v>501</v>
      </c>
      <c r="C216" s="291">
        <v>5680</v>
      </c>
    </row>
    <row r="217" spans="1:3" x14ac:dyDescent="0.3">
      <c r="A217" s="292" t="s">
        <v>198</v>
      </c>
      <c r="B217" s="291" t="s">
        <v>497</v>
      </c>
      <c r="C217" s="291">
        <v>5409</v>
      </c>
    </row>
    <row r="218" spans="1:3" x14ac:dyDescent="0.3">
      <c r="A218" s="292" t="s">
        <v>292</v>
      </c>
      <c r="B218" s="291" t="s">
        <v>498</v>
      </c>
      <c r="C218" s="291">
        <v>5565</v>
      </c>
    </row>
    <row r="219" spans="1:3" x14ac:dyDescent="0.3">
      <c r="A219" s="292" t="s">
        <v>479</v>
      </c>
      <c r="B219" s="291" t="s">
        <v>501</v>
      </c>
      <c r="C219" s="291">
        <v>5923</v>
      </c>
    </row>
    <row r="220" spans="1:3" x14ac:dyDescent="0.3">
      <c r="A220" s="292" t="s">
        <v>405</v>
      </c>
      <c r="B220" s="291" t="s">
        <v>498</v>
      </c>
      <c r="C220" s="291">
        <v>5757</v>
      </c>
    </row>
    <row r="221" spans="1:3" x14ac:dyDescent="0.3">
      <c r="A221" s="292" t="s">
        <v>480</v>
      </c>
      <c r="B221" s="291" t="s">
        <v>498</v>
      </c>
      <c r="C221" s="291">
        <v>5924</v>
      </c>
    </row>
    <row r="222" spans="1:3" x14ac:dyDescent="0.3">
      <c r="A222" s="292" t="s">
        <v>199</v>
      </c>
      <c r="B222" s="291" t="s">
        <v>497</v>
      </c>
      <c r="C222" s="291">
        <v>5410</v>
      </c>
    </row>
    <row r="223" spans="1:3" x14ac:dyDescent="0.3">
      <c r="A223" s="292" t="s">
        <v>200</v>
      </c>
      <c r="B223" s="291" t="s">
        <v>497</v>
      </c>
      <c r="C223" s="291">
        <v>5411</v>
      </c>
    </row>
    <row r="224" spans="1:3" x14ac:dyDescent="0.3">
      <c r="A224" s="292" t="s">
        <v>247</v>
      </c>
      <c r="B224" s="291" t="s">
        <v>499</v>
      </c>
      <c r="C224" s="291">
        <v>5493</v>
      </c>
    </row>
    <row r="225" spans="1:3" x14ac:dyDescent="0.3">
      <c r="A225" s="292" t="s">
        <v>423</v>
      </c>
      <c r="B225" s="291" t="s">
        <v>505</v>
      </c>
      <c r="C225" s="291">
        <v>5805</v>
      </c>
    </row>
    <row r="226" spans="1:3" x14ac:dyDescent="0.3">
      <c r="A226" s="292" t="s">
        <v>481</v>
      </c>
      <c r="B226" s="291" t="s">
        <v>498</v>
      </c>
      <c r="C226" s="291">
        <v>5925</v>
      </c>
    </row>
    <row r="227" spans="1:3" x14ac:dyDescent="0.3">
      <c r="A227" s="292" t="s">
        <v>269</v>
      </c>
      <c r="B227" s="291" t="s">
        <v>501</v>
      </c>
      <c r="C227" s="291">
        <v>5529</v>
      </c>
    </row>
    <row r="228" spans="1:3" x14ac:dyDescent="0.3">
      <c r="A228" s="292" t="s">
        <v>270</v>
      </c>
      <c r="B228" s="291" t="s">
        <v>501</v>
      </c>
      <c r="C228" s="291">
        <v>5530</v>
      </c>
    </row>
    <row r="229" spans="1:3" x14ac:dyDescent="0.3">
      <c r="A229" s="292" t="s">
        <v>248</v>
      </c>
      <c r="B229" s="291" t="s">
        <v>499</v>
      </c>
      <c r="C229" s="291">
        <v>5494</v>
      </c>
    </row>
    <row r="230" spans="1:3" x14ac:dyDescent="0.3">
      <c r="A230" s="292" t="s">
        <v>302</v>
      </c>
      <c r="B230" s="291" t="s">
        <v>505</v>
      </c>
      <c r="C230" s="291">
        <v>5588</v>
      </c>
    </row>
    <row r="231" spans="1:3" x14ac:dyDescent="0.3">
      <c r="A231" s="292" t="s">
        <v>430</v>
      </c>
      <c r="B231" s="291" t="s">
        <v>500</v>
      </c>
      <c r="C231" s="291">
        <v>5822</v>
      </c>
    </row>
    <row r="232" spans="1:3" x14ac:dyDescent="0.3">
      <c r="A232" s="292" t="s">
        <v>249</v>
      </c>
      <c r="B232" s="291" t="s">
        <v>501</v>
      </c>
      <c r="C232" s="291">
        <v>5495</v>
      </c>
    </row>
    <row r="233" spans="1:3" x14ac:dyDescent="0.3">
      <c r="A233" s="292" t="s">
        <v>250</v>
      </c>
      <c r="B233" s="291" t="s">
        <v>501</v>
      </c>
      <c r="C233" s="291">
        <v>5496</v>
      </c>
    </row>
    <row r="234" spans="1:3" x14ac:dyDescent="0.3">
      <c r="A234" s="292" t="s">
        <v>271</v>
      </c>
      <c r="B234" s="291" t="s">
        <v>501</v>
      </c>
      <c r="C234" s="291">
        <v>5531</v>
      </c>
    </row>
    <row r="235" spans="1:3" x14ac:dyDescent="0.3">
      <c r="A235" s="292" t="s">
        <v>447</v>
      </c>
      <c r="B235" s="291" t="s">
        <v>502</v>
      </c>
      <c r="C235" s="291">
        <v>5860</v>
      </c>
    </row>
    <row r="236" spans="1:3" x14ac:dyDescent="0.3">
      <c r="A236" s="292" t="s">
        <v>272</v>
      </c>
      <c r="B236" s="291" t="s">
        <v>501</v>
      </c>
      <c r="C236" s="291">
        <v>5533</v>
      </c>
    </row>
    <row r="237" spans="1:3" x14ac:dyDescent="0.3">
      <c r="A237" s="292" t="s">
        <v>251</v>
      </c>
      <c r="B237" s="291" t="s">
        <v>499</v>
      </c>
      <c r="C237" s="291">
        <v>5497</v>
      </c>
    </row>
    <row r="238" spans="1:3" x14ac:dyDescent="0.3">
      <c r="A238" s="292" t="s">
        <v>482</v>
      </c>
      <c r="B238" s="291" t="s">
        <v>498</v>
      </c>
      <c r="C238" s="291">
        <v>5926</v>
      </c>
    </row>
    <row r="239" spans="1:3" x14ac:dyDescent="0.3">
      <c r="A239" s="292" t="s">
        <v>383</v>
      </c>
      <c r="B239" s="291" t="s">
        <v>502</v>
      </c>
      <c r="C239" s="291">
        <v>5725</v>
      </c>
    </row>
    <row r="240" spans="1:3" x14ac:dyDescent="0.3">
      <c r="A240" s="292" t="s">
        <v>407</v>
      </c>
      <c r="B240" s="291" t="s">
        <v>498</v>
      </c>
      <c r="C240" s="291">
        <v>5759</v>
      </c>
    </row>
    <row r="241" spans="1:3" x14ac:dyDescent="0.3">
      <c r="A241" s="292" t="s">
        <v>332</v>
      </c>
      <c r="B241" s="291" t="s">
        <v>499</v>
      </c>
      <c r="C241" s="291">
        <v>5643</v>
      </c>
    </row>
    <row r="242" spans="1:3" x14ac:dyDescent="0.3">
      <c r="A242" s="292" t="s">
        <v>354</v>
      </c>
      <c r="B242" s="291" t="s">
        <v>500</v>
      </c>
      <c r="C242" s="291">
        <v>5683</v>
      </c>
    </row>
    <row r="243" spans="1:3" x14ac:dyDescent="0.3">
      <c r="A243" s="292" t="s">
        <v>303</v>
      </c>
      <c r="B243" s="291" t="s">
        <v>503</v>
      </c>
      <c r="C243" s="291">
        <v>5589</v>
      </c>
    </row>
    <row r="244" spans="1:3" x14ac:dyDescent="0.3">
      <c r="A244" s="292" t="s">
        <v>293</v>
      </c>
      <c r="B244" s="291" t="s">
        <v>498</v>
      </c>
      <c r="C244" s="291">
        <v>5566</v>
      </c>
    </row>
    <row r="245" spans="1:3" x14ac:dyDescent="0.3">
      <c r="A245" s="292" t="s">
        <v>310</v>
      </c>
      <c r="B245" s="291" t="s">
        <v>505</v>
      </c>
      <c r="C245" s="291">
        <v>5607</v>
      </c>
    </row>
    <row r="246" spans="1:3" x14ac:dyDescent="0.3">
      <c r="A246" s="292" t="s">
        <v>304</v>
      </c>
      <c r="B246" s="291" t="s">
        <v>505</v>
      </c>
      <c r="C246" s="291">
        <v>5590</v>
      </c>
    </row>
    <row r="247" spans="1:3" x14ac:dyDescent="0.3">
      <c r="A247" s="292" t="s">
        <v>408</v>
      </c>
      <c r="B247" s="291" t="s">
        <v>498</v>
      </c>
      <c r="C247" s="291">
        <v>5760</v>
      </c>
    </row>
    <row r="248" spans="1:3" x14ac:dyDescent="0.3">
      <c r="A248" s="292" t="s">
        <v>305</v>
      </c>
      <c r="B248" s="291" t="s">
        <v>503</v>
      </c>
      <c r="C248" s="291">
        <v>5591</v>
      </c>
    </row>
    <row r="249" spans="1:3" x14ac:dyDescent="0.3">
      <c r="A249" s="292" t="s">
        <v>201</v>
      </c>
      <c r="B249" s="291" t="s">
        <v>497</v>
      </c>
      <c r="C249" s="291">
        <v>5412</v>
      </c>
    </row>
    <row r="250" spans="1:3" x14ac:dyDescent="0.3">
      <c r="A250" s="292" t="s">
        <v>333</v>
      </c>
      <c r="B250" s="291" t="s">
        <v>499</v>
      </c>
      <c r="C250" s="291">
        <v>5644</v>
      </c>
    </row>
    <row r="251" spans="1:3" x14ac:dyDescent="0.3">
      <c r="A251" s="292" t="s">
        <v>311</v>
      </c>
      <c r="B251" s="291" t="s">
        <v>505</v>
      </c>
      <c r="C251" s="291">
        <v>5609</v>
      </c>
    </row>
    <row r="252" spans="1:3" x14ac:dyDescent="0.3">
      <c r="A252" s="292" t="s">
        <v>202</v>
      </c>
      <c r="B252" s="291" t="s">
        <v>497</v>
      </c>
      <c r="C252" s="291">
        <v>5413</v>
      </c>
    </row>
    <row r="253" spans="1:3" x14ac:dyDescent="0.3">
      <c r="A253" s="292" t="s">
        <v>448</v>
      </c>
      <c r="B253" s="291" t="s">
        <v>502</v>
      </c>
      <c r="C253" s="291">
        <v>5861</v>
      </c>
    </row>
    <row r="254" spans="1:3" x14ac:dyDescent="0.3">
      <c r="A254" s="292" t="s">
        <v>409</v>
      </c>
      <c r="B254" s="291" t="s">
        <v>498</v>
      </c>
      <c r="C254" s="291">
        <v>5761</v>
      </c>
    </row>
    <row r="255" spans="1:3" x14ac:dyDescent="0.3">
      <c r="A255" s="292" t="s">
        <v>306</v>
      </c>
      <c r="B255" s="291" t="s">
        <v>508</v>
      </c>
      <c r="C255" s="291">
        <v>5592</v>
      </c>
    </row>
    <row r="256" spans="1:3" x14ac:dyDescent="0.3">
      <c r="A256" s="292" t="s">
        <v>334</v>
      </c>
      <c r="B256" s="291" t="s">
        <v>499</v>
      </c>
      <c r="C256" s="291">
        <v>5645</v>
      </c>
    </row>
    <row r="257" spans="1:3" x14ac:dyDescent="0.3">
      <c r="A257" s="292" t="s">
        <v>419</v>
      </c>
      <c r="B257" s="291" t="s">
        <v>500</v>
      </c>
      <c r="C257" s="291">
        <v>5798</v>
      </c>
    </row>
    <row r="258" spans="1:3" x14ac:dyDescent="0.3">
      <c r="A258" s="292" t="s">
        <v>355</v>
      </c>
      <c r="B258" s="291" t="s">
        <v>500</v>
      </c>
      <c r="C258" s="291">
        <v>5684</v>
      </c>
    </row>
    <row r="259" spans="1:3" x14ac:dyDescent="0.3">
      <c r="A259" s="292" t="s">
        <v>436</v>
      </c>
      <c r="B259" s="291" t="s">
        <v>504</v>
      </c>
      <c r="C259" s="291">
        <v>5842</v>
      </c>
    </row>
    <row r="260" spans="1:3" x14ac:dyDescent="0.3">
      <c r="A260" s="292" t="s">
        <v>437</v>
      </c>
      <c r="B260" s="291" t="s">
        <v>504</v>
      </c>
      <c r="C260" s="291">
        <v>5843</v>
      </c>
    </row>
    <row r="261" spans="1:3" x14ac:dyDescent="0.3">
      <c r="A261" s="292" t="s">
        <v>483</v>
      </c>
      <c r="B261" s="291" t="s">
        <v>498</v>
      </c>
      <c r="C261" s="291">
        <v>5928</v>
      </c>
    </row>
    <row r="262" spans="1:3" x14ac:dyDescent="0.3">
      <c r="A262" s="292" t="s">
        <v>273</v>
      </c>
      <c r="B262" s="291" t="s">
        <v>501</v>
      </c>
      <c r="C262" s="291">
        <v>5534</v>
      </c>
    </row>
    <row r="263" spans="1:3" x14ac:dyDescent="0.3">
      <c r="A263" s="292" t="s">
        <v>274</v>
      </c>
      <c r="B263" s="291" t="s">
        <v>501</v>
      </c>
      <c r="C263" s="291">
        <v>5535</v>
      </c>
    </row>
    <row r="264" spans="1:3" x14ac:dyDescent="0.3">
      <c r="A264" s="292" t="s">
        <v>385</v>
      </c>
      <c r="B264" s="291" t="s">
        <v>502</v>
      </c>
      <c r="C264" s="291">
        <v>5727</v>
      </c>
    </row>
    <row r="265" spans="1:3" x14ac:dyDescent="0.3">
      <c r="A265" s="292" t="s">
        <v>188</v>
      </c>
      <c r="B265" s="291" t="s">
        <v>498</v>
      </c>
      <c r="C265" s="291">
        <v>5568</v>
      </c>
    </row>
    <row r="266" spans="1:3" x14ac:dyDescent="0.3">
      <c r="A266" s="292" t="s">
        <v>217</v>
      </c>
      <c r="B266" s="291" t="s">
        <v>502</v>
      </c>
      <c r="C266" s="291">
        <v>5434</v>
      </c>
    </row>
    <row r="267" spans="1:3" x14ac:dyDescent="0.3">
      <c r="A267" s="292" t="s">
        <v>460</v>
      </c>
      <c r="B267" s="291" t="s">
        <v>504</v>
      </c>
      <c r="C267" s="291">
        <v>5888</v>
      </c>
    </row>
    <row r="268" spans="1:3" x14ac:dyDescent="0.3">
      <c r="A268" s="292" t="s">
        <v>218</v>
      </c>
      <c r="B268" s="291" t="s">
        <v>499</v>
      </c>
      <c r="C268" s="291">
        <v>5435</v>
      </c>
    </row>
    <row r="269" spans="1:3" x14ac:dyDescent="0.3">
      <c r="A269" s="292" t="s">
        <v>219</v>
      </c>
      <c r="B269" s="291" t="s">
        <v>499</v>
      </c>
      <c r="C269" s="291">
        <v>5436</v>
      </c>
    </row>
    <row r="270" spans="1:3" x14ac:dyDescent="0.3">
      <c r="A270" s="292" t="s">
        <v>335</v>
      </c>
      <c r="B270" s="291" t="s">
        <v>499</v>
      </c>
      <c r="C270" s="291">
        <v>5646</v>
      </c>
    </row>
    <row r="271" spans="1:3" x14ac:dyDescent="0.3">
      <c r="A271" s="292" t="s">
        <v>507</v>
      </c>
      <c r="B271" s="291" t="s">
        <v>505</v>
      </c>
      <c r="C271" s="291">
        <v>5610</v>
      </c>
    </row>
    <row r="272" spans="1:3" x14ac:dyDescent="0.3">
      <c r="A272" s="292" t="s">
        <v>336</v>
      </c>
      <c r="B272" s="291" t="s">
        <v>503</v>
      </c>
      <c r="C272" s="291">
        <v>5648</v>
      </c>
    </row>
    <row r="273" spans="1:3" x14ac:dyDescent="0.3">
      <c r="A273" s="292" t="s">
        <v>506</v>
      </c>
      <c r="B273" s="291" t="s">
        <v>500</v>
      </c>
      <c r="C273" s="291">
        <v>5686</v>
      </c>
    </row>
    <row r="274" spans="1:3" x14ac:dyDescent="0.3">
      <c r="A274" s="292" t="s">
        <v>220</v>
      </c>
      <c r="B274" s="291" t="s">
        <v>499</v>
      </c>
      <c r="C274" s="291">
        <v>5437</v>
      </c>
    </row>
    <row r="275" spans="1:3" x14ac:dyDescent="0.3">
      <c r="A275" s="292" t="s">
        <v>312</v>
      </c>
      <c r="B275" s="291" t="s">
        <v>505</v>
      </c>
      <c r="C275" s="291">
        <v>5611</v>
      </c>
    </row>
    <row r="276" spans="1:3" x14ac:dyDescent="0.3">
      <c r="A276" s="292" t="s">
        <v>253</v>
      </c>
      <c r="B276" s="291" t="s">
        <v>499</v>
      </c>
      <c r="C276" s="291">
        <v>5499</v>
      </c>
    </row>
    <row r="277" spans="1:3" x14ac:dyDescent="0.3">
      <c r="A277" s="292" t="s">
        <v>410</v>
      </c>
      <c r="B277" s="291" t="s">
        <v>498</v>
      </c>
      <c r="C277" s="291">
        <v>5762</v>
      </c>
    </row>
    <row r="278" spans="1:3" x14ac:dyDescent="0.3">
      <c r="A278" s="292" t="s">
        <v>420</v>
      </c>
      <c r="B278" s="291" t="s">
        <v>505</v>
      </c>
      <c r="C278" s="291">
        <v>5799</v>
      </c>
    </row>
    <row r="279" spans="1:3" x14ac:dyDescent="0.3">
      <c r="A279" s="292" t="s">
        <v>254</v>
      </c>
      <c r="B279" s="291" t="s">
        <v>499</v>
      </c>
      <c r="C279" s="291">
        <v>5500</v>
      </c>
    </row>
    <row r="280" spans="1:3" x14ac:dyDescent="0.3">
      <c r="A280" s="292" t="s">
        <v>386</v>
      </c>
      <c r="B280" s="291" t="s">
        <v>502</v>
      </c>
      <c r="C280" s="291">
        <v>5728</v>
      </c>
    </row>
    <row r="281" spans="1:3" x14ac:dyDescent="0.3">
      <c r="A281" s="292" t="s">
        <v>484</v>
      </c>
      <c r="B281" s="291" t="s">
        <v>498</v>
      </c>
      <c r="C281" s="291">
        <v>5929</v>
      </c>
    </row>
    <row r="282" spans="1:3" x14ac:dyDescent="0.3">
      <c r="A282" s="292" t="s">
        <v>255</v>
      </c>
      <c r="B282" s="291" t="s">
        <v>501</v>
      </c>
      <c r="C282" s="291">
        <v>5501</v>
      </c>
    </row>
    <row r="283" spans="1:3" x14ac:dyDescent="0.3">
      <c r="A283" s="292" t="s">
        <v>485</v>
      </c>
      <c r="B283" s="291" t="s">
        <v>498</v>
      </c>
      <c r="C283" s="291">
        <v>5930</v>
      </c>
    </row>
    <row r="284" spans="1:3" x14ac:dyDescent="0.3">
      <c r="A284" s="292" t="s">
        <v>356</v>
      </c>
      <c r="B284" s="291" t="s">
        <v>500</v>
      </c>
      <c r="C284" s="291">
        <v>5688</v>
      </c>
    </row>
    <row r="285" spans="1:3" x14ac:dyDescent="0.3">
      <c r="A285" s="292" t="s">
        <v>387</v>
      </c>
      <c r="B285" s="291" t="s">
        <v>502</v>
      </c>
      <c r="C285" s="291">
        <v>5729</v>
      </c>
    </row>
    <row r="286" spans="1:3" x14ac:dyDescent="0.3">
      <c r="A286" s="292" t="s">
        <v>449</v>
      </c>
      <c r="B286" s="291" t="s">
        <v>502</v>
      </c>
      <c r="C286" s="291">
        <v>5862</v>
      </c>
    </row>
    <row r="287" spans="1:3" x14ac:dyDescent="0.3">
      <c r="A287" s="292" t="s">
        <v>294</v>
      </c>
      <c r="B287" s="291" t="s">
        <v>498</v>
      </c>
      <c r="C287" s="291">
        <v>5571</v>
      </c>
    </row>
    <row r="288" spans="1:3" x14ac:dyDescent="0.3">
      <c r="A288" s="292" t="s">
        <v>337</v>
      </c>
      <c r="B288" s="291" t="s">
        <v>499</v>
      </c>
      <c r="C288" s="291">
        <v>5649</v>
      </c>
    </row>
    <row r="289" spans="1:3" x14ac:dyDescent="0.3">
      <c r="A289" s="292" t="s">
        <v>388</v>
      </c>
      <c r="B289" s="291" t="s">
        <v>502</v>
      </c>
      <c r="C289" s="291">
        <v>5730</v>
      </c>
    </row>
    <row r="290" spans="1:3" x14ac:dyDescent="0.3">
      <c r="A290" s="292" t="s">
        <v>431</v>
      </c>
      <c r="B290" s="291" t="s">
        <v>500</v>
      </c>
      <c r="C290" s="291">
        <v>5827</v>
      </c>
    </row>
    <row r="291" spans="1:3" x14ac:dyDescent="0.3">
      <c r="A291" s="292" t="s">
        <v>486</v>
      </c>
      <c r="B291" s="291" t="s">
        <v>498</v>
      </c>
      <c r="C291" s="291">
        <v>5931</v>
      </c>
    </row>
    <row r="292" spans="1:3" x14ac:dyDescent="0.3">
      <c r="A292" s="292" t="s">
        <v>432</v>
      </c>
      <c r="B292" s="291" t="s">
        <v>500</v>
      </c>
      <c r="C292" s="291">
        <v>5828</v>
      </c>
    </row>
    <row r="293" spans="1:3" x14ac:dyDescent="0.3">
      <c r="A293" s="292" t="s">
        <v>487</v>
      </c>
      <c r="B293" s="291" t="s">
        <v>498</v>
      </c>
      <c r="C293" s="291">
        <v>5932</v>
      </c>
    </row>
    <row r="294" spans="1:3" x14ac:dyDescent="0.3">
      <c r="A294" s="292" t="s">
        <v>434</v>
      </c>
      <c r="B294" s="291" t="s">
        <v>500</v>
      </c>
      <c r="C294" s="291">
        <v>5831</v>
      </c>
    </row>
    <row r="295" spans="1:3" x14ac:dyDescent="0.3">
      <c r="A295" s="292" t="s">
        <v>488</v>
      </c>
      <c r="B295" s="291" t="s">
        <v>498</v>
      </c>
      <c r="C295" s="291">
        <v>5933</v>
      </c>
    </row>
    <row r="296" spans="1:3" x14ac:dyDescent="0.3">
      <c r="A296" s="292" t="s">
        <v>411</v>
      </c>
      <c r="B296" s="291" t="s">
        <v>498</v>
      </c>
      <c r="C296" s="291">
        <v>5763</v>
      </c>
    </row>
    <row r="297" spans="1:3" x14ac:dyDescent="0.3">
      <c r="A297" s="292" t="s">
        <v>489</v>
      </c>
      <c r="B297" s="291" t="s">
        <v>498</v>
      </c>
      <c r="C297" s="291">
        <v>5934</v>
      </c>
    </row>
    <row r="298" spans="1:3" x14ac:dyDescent="0.3">
      <c r="A298" s="292" t="s">
        <v>412</v>
      </c>
      <c r="B298" s="291" t="s">
        <v>498</v>
      </c>
      <c r="C298" s="291">
        <v>5764</v>
      </c>
    </row>
    <row r="299" spans="1:3" x14ac:dyDescent="0.3">
      <c r="A299" s="292" t="s">
        <v>413</v>
      </c>
      <c r="B299" s="291" t="s">
        <v>498</v>
      </c>
      <c r="C299" s="291">
        <v>5765</v>
      </c>
    </row>
    <row r="300" spans="1:3" x14ac:dyDescent="0.3">
      <c r="A300" s="292" t="s">
        <v>338</v>
      </c>
      <c r="B300" s="291" t="s">
        <v>499</v>
      </c>
      <c r="C300" s="291">
        <v>5650</v>
      </c>
    </row>
    <row r="301" spans="1:3" x14ac:dyDescent="0.3">
      <c r="A301" s="292" t="s">
        <v>462</v>
      </c>
      <c r="B301" s="291" t="s">
        <v>504</v>
      </c>
      <c r="C301" s="291">
        <v>5890</v>
      </c>
    </row>
    <row r="302" spans="1:3" x14ac:dyDescent="0.3">
      <c r="A302" s="292" t="s">
        <v>463</v>
      </c>
      <c r="B302" s="291" t="s">
        <v>504</v>
      </c>
      <c r="C302" s="291">
        <v>5891</v>
      </c>
    </row>
    <row r="303" spans="1:3" x14ac:dyDescent="0.3">
      <c r="A303" s="292" t="s">
        <v>390</v>
      </c>
      <c r="B303" s="291" t="s">
        <v>502</v>
      </c>
      <c r="C303" s="291">
        <v>5732</v>
      </c>
    </row>
    <row r="304" spans="1:3" x14ac:dyDescent="0.3">
      <c r="A304" s="292" t="s">
        <v>490</v>
      </c>
      <c r="B304" s="291" t="s">
        <v>498</v>
      </c>
      <c r="C304" s="291">
        <v>5935</v>
      </c>
    </row>
    <row r="305" spans="1:3" x14ac:dyDescent="0.3">
      <c r="A305" s="292" t="s">
        <v>357</v>
      </c>
      <c r="B305" s="291" t="s">
        <v>500</v>
      </c>
      <c r="C305" s="291">
        <v>5690</v>
      </c>
    </row>
    <row r="306" spans="1:3" x14ac:dyDescent="0.3">
      <c r="A306" s="292" t="s">
        <v>275</v>
      </c>
      <c r="B306" s="291" t="s">
        <v>501</v>
      </c>
      <c r="C306" s="291">
        <v>5537</v>
      </c>
    </row>
    <row r="307" spans="1:3" x14ac:dyDescent="0.3">
      <c r="A307" s="292" t="s">
        <v>339</v>
      </c>
      <c r="B307" s="291" t="s">
        <v>503</v>
      </c>
      <c r="C307" s="291">
        <v>5651</v>
      </c>
    </row>
    <row r="308" spans="1:3" x14ac:dyDescent="0.3">
      <c r="A308" s="292" t="s">
        <v>340</v>
      </c>
      <c r="B308" s="291" t="s">
        <v>499</v>
      </c>
      <c r="C308" s="291">
        <v>5652</v>
      </c>
    </row>
    <row r="309" spans="1:3" x14ac:dyDescent="0.3">
      <c r="A309" s="292" t="s">
        <v>433</v>
      </c>
      <c r="B309" s="291" t="s">
        <v>500</v>
      </c>
      <c r="C309" s="291">
        <v>5830</v>
      </c>
    </row>
    <row r="310" spans="1:3" x14ac:dyDescent="0.3">
      <c r="A310" s="292" t="s">
        <v>203</v>
      </c>
      <c r="B310" s="291" t="s">
        <v>497</v>
      </c>
      <c r="C310" s="291">
        <v>5414</v>
      </c>
    </row>
    <row r="311" spans="1:3" x14ac:dyDescent="0.3">
      <c r="A311" s="292" t="s">
        <v>450</v>
      </c>
      <c r="B311" s="291" t="s">
        <v>502</v>
      </c>
      <c r="C311" s="291">
        <v>5863</v>
      </c>
    </row>
    <row r="312" spans="1:3" x14ac:dyDescent="0.3">
      <c r="A312" s="292" t="s">
        <v>276</v>
      </c>
      <c r="B312" s="291" t="s">
        <v>501</v>
      </c>
      <c r="C312" s="291">
        <v>5539</v>
      </c>
    </row>
    <row r="313" spans="1:3" x14ac:dyDescent="0.3">
      <c r="A313" s="292" t="s">
        <v>358</v>
      </c>
      <c r="B313" s="291" t="s">
        <v>500</v>
      </c>
      <c r="C313" s="291">
        <v>5692</v>
      </c>
    </row>
    <row r="314" spans="1:3" x14ac:dyDescent="0.3">
      <c r="A314" s="292" t="s">
        <v>256</v>
      </c>
      <c r="B314" s="291" t="s">
        <v>501</v>
      </c>
      <c r="C314" s="291">
        <v>5503</v>
      </c>
    </row>
    <row r="315" spans="1:3" x14ac:dyDescent="0.3">
      <c r="A315" s="292" t="s">
        <v>341</v>
      </c>
      <c r="B315" s="291" t="s">
        <v>499</v>
      </c>
      <c r="C315" s="291">
        <v>5653</v>
      </c>
    </row>
    <row r="316" spans="1:3" x14ac:dyDescent="0.3">
      <c r="A316" s="292" t="s">
        <v>491</v>
      </c>
      <c r="B316" s="291" t="s">
        <v>498</v>
      </c>
      <c r="C316" s="291">
        <v>5937</v>
      </c>
    </row>
    <row r="317" spans="1:3" x14ac:dyDescent="0.3">
      <c r="A317" s="292" t="s">
        <v>414</v>
      </c>
      <c r="B317" s="291" t="s">
        <v>498</v>
      </c>
      <c r="C317" s="291">
        <v>5766</v>
      </c>
    </row>
    <row r="318" spans="1:3" x14ac:dyDescent="0.3">
      <c r="A318" s="292" t="s">
        <v>421</v>
      </c>
      <c r="B318" s="291" t="s">
        <v>500</v>
      </c>
      <c r="C318" s="291">
        <v>5803</v>
      </c>
    </row>
    <row r="319" spans="1:3" x14ac:dyDescent="0.3">
      <c r="A319" s="292" t="s">
        <v>342</v>
      </c>
      <c r="B319" s="291" t="s">
        <v>499</v>
      </c>
      <c r="C319" s="291">
        <v>5654</v>
      </c>
    </row>
    <row r="320" spans="1:3" x14ac:dyDescent="0.3">
      <c r="A320" s="292" t="s">
        <v>224</v>
      </c>
      <c r="B320" s="291" t="s">
        <v>500</v>
      </c>
      <c r="C320" s="291">
        <v>5464</v>
      </c>
    </row>
    <row r="321" spans="1:3" x14ac:dyDescent="0.3">
      <c r="A321" s="292" t="s">
        <v>343</v>
      </c>
      <c r="B321" s="291" t="s">
        <v>499</v>
      </c>
      <c r="C321" s="291">
        <v>5655</v>
      </c>
    </row>
    <row r="322" spans="1:3" x14ac:dyDescent="0.3">
      <c r="A322" s="292" t="s">
        <v>492</v>
      </c>
      <c r="B322" s="291" t="s">
        <v>498</v>
      </c>
      <c r="C322" s="291">
        <v>5938</v>
      </c>
    </row>
    <row r="323" spans="1:3" x14ac:dyDescent="0.3">
      <c r="A323" s="292" t="s">
        <v>493</v>
      </c>
      <c r="B323" s="291" t="s">
        <v>498</v>
      </c>
      <c r="C323" s="291">
        <v>5939</v>
      </c>
    </row>
    <row r="324" spans="1:3" x14ac:dyDescent="0.3">
      <c r="A324" s="292" t="s">
        <v>204</v>
      </c>
      <c r="B324" s="291" t="s">
        <v>497</v>
      </c>
      <c r="C324" s="291">
        <v>5415</v>
      </c>
    </row>
  </sheetData>
  <sheetProtection password="DE85"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Résultat Péréquation</vt:lpstr>
      <vt:lpstr>Données</vt:lpstr>
      <vt:lpstr>Dépenses thématiques</vt:lpstr>
      <vt:lpstr>Fiches calcul </vt:lpstr>
      <vt:lpstr>Paramètres</vt:lpstr>
      <vt:lpstr>Données!Zone_d_impression</vt:lpstr>
    </vt:vector>
  </TitlesOfParts>
  <Company>ASFICO / SeCRI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jean-michel.brandt@sainte-croix.ch</dc:creator>
  <cp:lastModifiedBy>Jean-Michel Brandt</cp:lastModifiedBy>
  <cp:lastPrinted>2022-03-17T07:27:40Z</cp:lastPrinted>
  <dcterms:created xsi:type="dcterms:W3CDTF">2005-07-01T13:01:39Z</dcterms:created>
  <dcterms:modified xsi:type="dcterms:W3CDTF">2022-09-28T17:37:01Z</dcterms:modified>
</cp:coreProperties>
</file>