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eZeender\Downloads\"/>
    </mc:Choice>
  </mc:AlternateContent>
  <xr:revisionPtr revIDLastSave="0" documentId="8_{CCF95E92-BC52-418D-9C2B-8509CDF6C3BD}" xr6:coauthVersionLast="47" xr6:coauthVersionMax="47" xr10:uidLastSave="{00000000-0000-0000-0000-000000000000}"/>
  <bookViews>
    <workbookView xWindow="2490" yWindow="2730" windowWidth="26310" windowHeight="11325" xr2:uid="{DCC5FB13-6BA1-49D5-8520-C9DAD0B4BA2F}"/>
  </bookViews>
  <sheets>
    <sheet name="Données" sheetId="1" r:id="rId1"/>
    <sheet name="AF" sheetId="2" r:id="rId2"/>
    <sheet name="TBAF" sheetId="3" r:id="rId3"/>
    <sheet name="EP" sheetId="4" r:id="rId4"/>
    <sheet name="TBEP" sheetId="5" r:id="rId5"/>
    <sheet name="Indicateurs VD" sheetId="9" r:id="rId6"/>
  </sheets>
  <definedNames>
    <definedName name="_xlnm.Print_Area" localSheetId="1">AF!$A$1:$J$139</definedName>
    <definedName name="_xlnm.Print_Area" localSheetId="0">Données!$A$1:$J$154,Données!$K$1:$AC$42</definedName>
    <definedName name="_xlnm.Print_Area" localSheetId="3">EP!$A$1:$J$160</definedName>
    <definedName name="_xlnm.Print_Area" localSheetId="5">'Indicateurs VD'!$A$1:$M$71</definedName>
    <definedName name="_xlnm.Print_Area" localSheetId="2">TBAF!$A$1:$I$75</definedName>
    <definedName name="_xlnm.Print_Area" localSheetId="4">TBEP!$A$1:$L$38</definedName>
    <definedName name="Serie_30">IF(Données!$L$4,Données!$C$4:$G$4,0)</definedName>
    <definedName name="Serie_31">IF(Données!$L$5,Données!$C$5:$G$5,0)</definedName>
    <definedName name="Serie_32">IF(Données!$L$6,Données!$C$6:$G$6,0)</definedName>
    <definedName name="Serie_321">IF(Données!$L$7,Données!$C$7:$G$7,0)</definedName>
    <definedName name="Serie_322">IF(Données!$L$8,Données!$C$8:$G$8,0)</definedName>
    <definedName name="Serie_33">IF(Données!$L$9,Données!$C$9:$G$9,0)</definedName>
    <definedName name="Serie_330">IF(Données!$L$10,Données!$C$10:$G$10,0)</definedName>
    <definedName name="Serie_331">IF(Données!$L$11,Données!$C$11:$G$11,0)</definedName>
    <definedName name="Serie_332">IF(Données!$L$12,Données!$C$12:$G$12,0)</definedName>
    <definedName name="Serie_333">IF(Données!$L$13,Données!$C$13:$G$13,0)</definedName>
    <definedName name="Serie_35">IF(Données!$L$14,Données!$C$14:$G$14,0)</definedName>
    <definedName name="Serie_36">IF(Données!$L$15,Données!$C$15:$G$15,0)</definedName>
    <definedName name="Serie_38">IF(Données!$L$16,Données!$C$16:$G$16,0)</definedName>
    <definedName name="Serie_381">IF(Données!$L$17,Données!$C$17:$G$17,0)</definedName>
    <definedName name="Serie_39">IF(Données!$L$18,Données!$C$18:$G$18,0)</definedName>
    <definedName name="Serie_40">IF(Données!$L$22,Données!$C$22:$G$22,0)</definedName>
    <definedName name="Serie_400">IF(Données!$L$23,Données!$C$23:$G$23,0)</definedName>
    <definedName name="Serie_401">IF(Données!$L$24,Données!$C$24:$G$24,0)</definedName>
    <definedName name="Serie_41">IF(Données!$L$25,Données!$C$25:$G$25,0)</definedName>
    <definedName name="Serie_42">IF(Données!$L$26,Données!$C$26:$G$26,0)</definedName>
    <definedName name="Serie_424">IF(Données!$L$27,Données!$C$27:$G$27,0)</definedName>
    <definedName name="Serie_425">IF(Données!$L$28,Données!$C$28:$G$28,0)</definedName>
    <definedName name="Serie_427">IF(Données!$L$29,Données!$C$29:$G$29,0)</definedName>
    <definedName name="Serie_43">IF(Données!$L$30,Données!$C$30:$G$30,0)</definedName>
    <definedName name="Serie_431">IF(Données!$L$31,Données!$C$31:$G$31,0)</definedName>
    <definedName name="Serie_44">IF(Données!$L$32,Données!$C$32:$G$32,0)</definedName>
    <definedName name="Serie_45">IF(Données!$L$33,Données!$C$33:$G$33,0)</definedName>
    <definedName name="Serie_46">IF(Données!$L$34,Données!$C$34:$G$34,0)</definedName>
    <definedName name="Serie_48">IF(Données!$L$35,Données!$C$35:$G$35,0)</definedName>
    <definedName name="Serie_481">IF(Données!$L$36,Données!$C$36:$G$36,0)</definedName>
    <definedName name="Serie_49">IF(Données!$L$37,Données!$C$37:$G$37,0)</definedName>
  </definedNames>
  <calcPr calcId="191029"/>
  <customWorkbookViews>
    <customWorkbookView name="test" guid="{8FA47B43-BA6D-4089-B9C0-4EA64D53BE1E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1" l="1"/>
  <c r="D92" i="1"/>
  <c r="E92" i="1"/>
  <c r="F92" i="1"/>
  <c r="G92" i="1"/>
  <c r="C92" i="1"/>
  <c r="J137" i="1" l="1"/>
  <c r="J136" i="1"/>
  <c r="J135" i="1"/>
  <c r="J134" i="1"/>
  <c r="J131" i="1"/>
  <c r="J130" i="1"/>
  <c r="J129" i="1"/>
  <c r="J128" i="1"/>
  <c r="J125" i="1"/>
  <c r="J124" i="1"/>
  <c r="J123" i="1"/>
  <c r="J122" i="1"/>
  <c r="J117" i="1"/>
  <c r="J118" i="1"/>
  <c r="J119" i="1"/>
  <c r="J116" i="1"/>
  <c r="J103" i="1"/>
  <c r="J98" i="1"/>
  <c r="J99" i="1"/>
  <c r="J97" i="1"/>
  <c r="J89" i="1"/>
  <c r="J90" i="1"/>
  <c r="J88" i="1"/>
  <c r="J78" i="1"/>
  <c r="J79" i="1"/>
  <c r="J80" i="1"/>
  <c r="J81" i="1"/>
  <c r="J82" i="1"/>
  <c r="J83" i="1"/>
  <c r="J84" i="1"/>
  <c r="J66" i="1"/>
  <c r="J67" i="1"/>
  <c r="J68" i="1"/>
  <c r="J69" i="1"/>
  <c r="J70" i="1"/>
  <c r="J65" i="1"/>
  <c r="J62" i="1"/>
  <c r="J55" i="1"/>
  <c r="J56" i="1"/>
  <c r="J57" i="1"/>
  <c r="J58" i="1"/>
  <c r="J54" i="1"/>
  <c r="J48" i="1"/>
  <c r="J49" i="1"/>
  <c r="J50" i="1"/>
  <c r="J4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M85" i="4" l="1"/>
  <c r="N85" i="4"/>
  <c r="M82" i="4"/>
  <c r="N82" i="4"/>
  <c r="M79" i="4"/>
  <c r="N79" i="4"/>
  <c r="M76" i="4"/>
  <c r="N76" i="4"/>
  <c r="M73" i="4"/>
  <c r="N73" i="4"/>
  <c r="M70" i="4"/>
  <c r="N70" i="4"/>
  <c r="O64" i="4"/>
  <c r="M64" i="4"/>
  <c r="M51" i="4"/>
  <c r="N51" i="4"/>
  <c r="M48" i="4"/>
  <c r="N48" i="4"/>
  <c r="M38" i="4"/>
  <c r="N38" i="4"/>
  <c r="L85" i="4"/>
  <c r="L82" i="4"/>
  <c r="L79" i="4"/>
  <c r="L76" i="4"/>
  <c r="L73" i="4"/>
  <c r="L70" i="4"/>
  <c r="L64" i="4"/>
  <c r="L51" i="4"/>
  <c r="L48" i="4"/>
  <c r="L38" i="4"/>
  <c r="M35" i="4"/>
  <c r="N35" i="4"/>
  <c r="L35" i="4"/>
  <c r="K27" i="3" l="1"/>
  <c r="W26" i="3" l="1"/>
  <c r="V22" i="3" s="1"/>
  <c r="K19" i="3" l="1"/>
  <c r="B35" i="3"/>
  <c r="P13" i="3" l="1"/>
  <c r="Q13" i="3" s="1"/>
  <c r="P14" i="3"/>
  <c r="Q14" i="3" s="1"/>
  <c r="P15" i="3"/>
  <c r="Q15" i="3" s="1"/>
  <c r="P16" i="3"/>
  <c r="Q16" i="3" s="1"/>
  <c r="P12" i="3"/>
  <c r="Q12" i="3" s="1"/>
  <c r="T13" i="3"/>
  <c r="T14" i="3"/>
  <c r="T15" i="3"/>
  <c r="T16" i="3"/>
  <c r="T12" i="3"/>
  <c r="N16" i="3"/>
  <c r="N15" i="3"/>
  <c r="N14" i="3"/>
  <c r="N13" i="3"/>
  <c r="N12" i="3"/>
  <c r="K14" i="3"/>
  <c r="K13" i="3"/>
  <c r="K12" i="3"/>
  <c r="B1" i="3" l="1"/>
  <c r="E33" i="9"/>
  <c r="F33" i="9"/>
  <c r="G33" i="9"/>
  <c r="H33" i="9"/>
  <c r="D33" i="9"/>
  <c r="K12" i="9"/>
  <c r="K21" i="9" s="1"/>
  <c r="K27" i="9" s="1"/>
  <c r="K33" i="9" s="1"/>
  <c r="I121" i="1" l="1"/>
  <c r="L86" i="4"/>
  <c r="L83" i="4"/>
  <c r="L80" i="4"/>
  <c r="L77" i="4"/>
  <c r="L74" i="4"/>
  <c r="L71" i="4"/>
  <c r="L65" i="4"/>
  <c r="C91" i="1"/>
  <c r="C77" i="1"/>
  <c r="E112" i="2"/>
  <c r="O19" i="3" s="1"/>
  <c r="F112" i="2"/>
  <c r="P19" i="3" s="1"/>
  <c r="G112" i="2"/>
  <c r="Q19" i="3" s="1"/>
  <c r="H112" i="2"/>
  <c r="R19" i="3" s="1"/>
  <c r="D112" i="2"/>
  <c r="N19" i="3" s="1"/>
  <c r="J115" i="1"/>
  <c r="I119" i="1"/>
  <c r="I118" i="1"/>
  <c r="I117" i="1"/>
  <c r="I116" i="1"/>
  <c r="J112" i="2" s="1"/>
  <c r="S19" i="3" s="1"/>
  <c r="C113" i="2"/>
  <c r="K20" i="3" s="1"/>
  <c r="D113" i="2"/>
  <c r="N20" i="3" s="1"/>
  <c r="E113" i="2"/>
  <c r="O20" i="3" s="1"/>
  <c r="F113" i="2"/>
  <c r="P20" i="3" s="1"/>
  <c r="G113" i="2"/>
  <c r="Q20" i="3" s="1"/>
  <c r="H113" i="2"/>
  <c r="R20" i="3" s="1"/>
  <c r="C114" i="2"/>
  <c r="K21" i="3" s="1"/>
  <c r="D114" i="2"/>
  <c r="N21" i="3" s="1"/>
  <c r="E114" i="2"/>
  <c r="O21" i="3" s="1"/>
  <c r="F114" i="2"/>
  <c r="P21" i="3" s="1"/>
  <c r="G114" i="2"/>
  <c r="Q21" i="3" s="1"/>
  <c r="H114" i="2"/>
  <c r="R21" i="3" s="1"/>
  <c r="C115" i="2"/>
  <c r="K22" i="3" s="1"/>
  <c r="D115" i="2"/>
  <c r="N22" i="3" s="1"/>
  <c r="E115" i="2"/>
  <c r="O22" i="3" s="1"/>
  <c r="F115" i="2"/>
  <c r="P22" i="3" s="1"/>
  <c r="G115" i="2"/>
  <c r="Q22" i="3" s="1"/>
  <c r="H115" i="2"/>
  <c r="R22" i="3" s="1"/>
  <c r="E34" i="9"/>
  <c r="F34" i="9"/>
  <c r="G34" i="9"/>
  <c r="H34" i="9"/>
  <c r="D34" i="9"/>
  <c r="L34" i="9" s="1"/>
  <c r="D77" i="1" l="1"/>
  <c r="E77" i="1"/>
  <c r="F77" i="1"/>
  <c r="G77" i="1"/>
  <c r="J77" i="1" s="1"/>
  <c r="I88" i="1"/>
  <c r="E48" i="9" l="1"/>
  <c r="F48" i="9"/>
  <c r="G48" i="9"/>
  <c r="H48" i="9"/>
  <c r="E49" i="9"/>
  <c r="F49" i="9"/>
  <c r="G49" i="9"/>
  <c r="H49" i="9"/>
  <c r="E47" i="9"/>
  <c r="F47" i="9"/>
  <c r="G47" i="9"/>
  <c r="H47" i="9"/>
  <c r="E46" i="9"/>
  <c r="F46" i="9"/>
  <c r="G46" i="9"/>
  <c r="H46" i="9"/>
  <c r="D49" i="9"/>
  <c r="D48" i="9"/>
  <c r="D47" i="9"/>
  <c r="D46" i="9"/>
  <c r="E45" i="9"/>
  <c r="F45" i="9"/>
  <c r="G45" i="9"/>
  <c r="H45" i="9"/>
  <c r="D45" i="9"/>
  <c r="E43" i="9"/>
  <c r="F43" i="9"/>
  <c r="G43" i="9"/>
  <c r="H43" i="9"/>
  <c r="E42" i="9"/>
  <c r="F42" i="9"/>
  <c r="G42" i="9"/>
  <c r="H42" i="9"/>
  <c r="E41" i="9"/>
  <c r="F41" i="9"/>
  <c r="G41" i="9"/>
  <c r="H41" i="9"/>
  <c r="D43" i="9"/>
  <c r="D42" i="9"/>
  <c r="D41" i="9"/>
  <c r="L41" i="9" s="1"/>
  <c r="L40" i="9"/>
  <c r="K40" i="9"/>
  <c r="E40" i="9"/>
  <c r="F40" i="9"/>
  <c r="G40" i="9"/>
  <c r="H40" i="9"/>
  <c r="D40" i="9"/>
  <c r="E36" i="9"/>
  <c r="F36" i="9"/>
  <c r="G36" i="9"/>
  <c r="H36" i="9"/>
  <c r="D36" i="9"/>
  <c r="L36" i="9" s="1"/>
  <c r="E35" i="9"/>
  <c r="F35" i="9"/>
  <c r="G35" i="9"/>
  <c r="H35" i="9"/>
  <c r="D35" i="9"/>
  <c r="L35" i="9" s="1"/>
  <c r="J67" i="2"/>
  <c r="J54" i="2"/>
  <c r="J5" i="2"/>
  <c r="J34" i="2" s="1"/>
  <c r="J40" i="2" s="1"/>
  <c r="J46" i="2" s="1"/>
  <c r="J52" i="2" s="1"/>
  <c r="L42" i="9" l="1"/>
  <c r="L45" i="9"/>
  <c r="L43" i="9"/>
  <c r="L47" i="9"/>
  <c r="L48" i="9"/>
  <c r="L49" i="9"/>
  <c r="L46" i="9"/>
  <c r="K45" i="9"/>
  <c r="J58" i="2"/>
  <c r="J65" i="2" s="1"/>
  <c r="J71" i="2"/>
  <c r="J80" i="2" s="1"/>
  <c r="J89" i="2" s="1"/>
  <c r="J95" i="2" s="1"/>
  <c r="J104" i="2" s="1"/>
  <c r="J111" i="2" s="1"/>
  <c r="S18" i="3" s="1"/>
  <c r="K47" i="9"/>
  <c r="K42" i="9"/>
  <c r="K43" i="9"/>
  <c r="K49" i="9"/>
  <c r="K41" i="9"/>
  <c r="K48" i="9"/>
  <c r="K46" i="9"/>
  <c r="K36" i="9"/>
  <c r="K35" i="9"/>
  <c r="K34" i="9"/>
  <c r="H57" i="4"/>
  <c r="H91" i="4"/>
  <c r="H105" i="4"/>
  <c r="J133" i="1"/>
  <c r="J127" i="1"/>
  <c r="J121" i="1"/>
  <c r="J102" i="1"/>
  <c r="J96" i="1"/>
  <c r="J87" i="1"/>
  <c r="J76" i="1"/>
  <c r="J64" i="1"/>
  <c r="J53" i="1"/>
  <c r="J46" i="1"/>
  <c r="C113" i="1"/>
  <c r="D11" i="2" s="1"/>
  <c r="D113" i="1"/>
  <c r="E11" i="2" s="1"/>
  <c r="E113" i="1"/>
  <c r="F11" i="2" s="1"/>
  <c r="F113" i="1"/>
  <c r="G11" i="2" s="1"/>
  <c r="G113" i="1"/>
  <c r="H11" i="2" s="1"/>
  <c r="J11" i="2" l="1"/>
  <c r="H152" i="4"/>
  <c r="L9" i="5"/>
  <c r="D91" i="1"/>
  <c r="E91" i="1"/>
  <c r="F91" i="1"/>
  <c r="G91" i="1"/>
  <c r="J91" i="1" s="1"/>
  <c r="C10" i="4"/>
  <c r="F44" i="9" l="1"/>
  <c r="F50" i="9" s="1"/>
  <c r="F13" i="9" s="1"/>
  <c r="F37" i="9"/>
  <c r="F38" i="9" s="1"/>
  <c r="F7" i="9" s="1"/>
  <c r="D44" i="9"/>
  <c r="D37" i="9"/>
  <c r="H44" i="9"/>
  <c r="H50" i="9" s="1"/>
  <c r="H13" i="9" s="1"/>
  <c r="H37" i="9"/>
  <c r="H38" i="9" s="1"/>
  <c r="G44" i="9"/>
  <c r="G50" i="9" s="1"/>
  <c r="G13" i="9" s="1"/>
  <c r="G37" i="9"/>
  <c r="G38" i="9" s="1"/>
  <c r="G7" i="9" s="1"/>
  <c r="E44" i="9"/>
  <c r="E50" i="9" s="1"/>
  <c r="E13" i="9" s="1"/>
  <c r="E37" i="9"/>
  <c r="E38" i="9" s="1"/>
  <c r="E7" i="9" s="1"/>
  <c r="E14" i="9"/>
  <c r="F14" i="9"/>
  <c r="G14" i="9"/>
  <c r="H14" i="9"/>
  <c r="D14" i="9"/>
  <c r="H6" i="9"/>
  <c r="H12" i="9" s="1"/>
  <c r="G6" i="9"/>
  <c r="G12" i="9" s="1"/>
  <c r="F6" i="9"/>
  <c r="F12" i="9" s="1"/>
  <c r="E6" i="9"/>
  <c r="E12" i="9" s="1"/>
  <c r="D6" i="9"/>
  <c r="D12" i="9" s="1"/>
  <c r="D1" i="9"/>
  <c r="C105" i="4"/>
  <c r="C152" i="4" s="1"/>
  <c r="G105" i="4"/>
  <c r="G152" i="4" s="1"/>
  <c r="E105" i="4"/>
  <c r="E152" i="4" s="1"/>
  <c r="L52" i="4"/>
  <c r="L49" i="4"/>
  <c r="L39" i="4"/>
  <c r="L36" i="4"/>
  <c r="L28" i="4"/>
  <c r="F105" i="4"/>
  <c r="F152" i="4" s="1"/>
  <c r="D105" i="4"/>
  <c r="D152" i="4" s="1"/>
  <c r="D57" i="4"/>
  <c r="E57" i="4"/>
  <c r="F57" i="4"/>
  <c r="G57" i="4"/>
  <c r="D91" i="4"/>
  <c r="E91" i="4"/>
  <c r="F91" i="4"/>
  <c r="G91" i="4"/>
  <c r="C91" i="4"/>
  <c r="C24" i="4"/>
  <c r="C17" i="4"/>
  <c r="H22" i="2"/>
  <c r="G22" i="2"/>
  <c r="F22" i="2"/>
  <c r="E22" i="2"/>
  <c r="H23" i="2"/>
  <c r="G23" i="2"/>
  <c r="F23" i="2"/>
  <c r="E23" i="2"/>
  <c r="D23" i="2"/>
  <c r="H19" i="2"/>
  <c r="G19" i="2"/>
  <c r="F19" i="2"/>
  <c r="E19" i="2"/>
  <c r="D19" i="2"/>
  <c r="H10" i="2"/>
  <c r="G10" i="2"/>
  <c r="F10" i="2"/>
  <c r="E10" i="2"/>
  <c r="D10" i="2"/>
  <c r="H9" i="2"/>
  <c r="G9" i="2"/>
  <c r="F9" i="2"/>
  <c r="E9" i="2"/>
  <c r="D9" i="2"/>
  <c r="M77" i="4"/>
  <c r="I28" i="1"/>
  <c r="I29" i="1"/>
  <c r="I30" i="1"/>
  <c r="I31" i="1"/>
  <c r="I102" i="1"/>
  <c r="I96" i="1"/>
  <c r="I87" i="1"/>
  <c r="I76" i="1"/>
  <c r="I64" i="1"/>
  <c r="I53" i="1"/>
  <c r="I46" i="1"/>
  <c r="I21" i="1"/>
  <c r="I133" i="1"/>
  <c r="I127" i="1"/>
  <c r="I137" i="1"/>
  <c r="I136" i="1"/>
  <c r="I135" i="1"/>
  <c r="I134" i="1"/>
  <c r="I131" i="1"/>
  <c r="I130" i="1"/>
  <c r="I129" i="1"/>
  <c r="I128" i="1"/>
  <c r="I125" i="1"/>
  <c r="I124" i="1"/>
  <c r="I123" i="1"/>
  <c r="I122" i="1"/>
  <c r="I103" i="1"/>
  <c r="J107" i="2" s="1"/>
  <c r="I99" i="1"/>
  <c r="I98" i="1"/>
  <c r="I97" i="1"/>
  <c r="I91" i="1"/>
  <c r="I90" i="1"/>
  <c r="I89" i="1"/>
  <c r="I83" i="1"/>
  <c r="I84" i="1"/>
  <c r="I82" i="1"/>
  <c r="I81" i="1"/>
  <c r="I80" i="1"/>
  <c r="I79" i="1"/>
  <c r="I78" i="1"/>
  <c r="I77" i="1"/>
  <c r="I70" i="1"/>
  <c r="I71" i="1" s="1"/>
  <c r="I69" i="1"/>
  <c r="I68" i="1"/>
  <c r="I67" i="1"/>
  <c r="I66" i="1"/>
  <c r="I65" i="1"/>
  <c r="I58" i="1"/>
  <c r="I57" i="1"/>
  <c r="I56" i="1"/>
  <c r="I55" i="1"/>
  <c r="I54" i="1"/>
  <c r="I50" i="1"/>
  <c r="I49" i="1"/>
  <c r="I48" i="1"/>
  <c r="I47" i="1"/>
  <c r="I43" i="1"/>
  <c r="I37" i="1"/>
  <c r="I36" i="1"/>
  <c r="C88" i="4" s="1"/>
  <c r="C90" i="4" s="1"/>
  <c r="I35" i="1"/>
  <c r="M86" i="4"/>
  <c r="I34" i="1"/>
  <c r="M83" i="4"/>
  <c r="I33" i="1"/>
  <c r="M80" i="4"/>
  <c r="I32" i="1"/>
  <c r="I27" i="1"/>
  <c r="M74" i="4"/>
  <c r="I26" i="1"/>
  <c r="M71" i="4"/>
  <c r="I25" i="1"/>
  <c r="I24" i="1"/>
  <c r="I23" i="1"/>
  <c r="M65" i="4"/>
  <c r="I22" i="1"/>
  <c r="J21" i="1"/>
  <c r="I18" i="1"/>
  <c r="I17" i="1"/>
  <c r="C54" i="4" s="1"/>
  <c r="C56" i="4" s="1"/>
  <c r="I16" i="1"/>
  <c r="M52" i="4"/>
  <c r="I15" i="1"/>
  <c r="M49" i="4"/>
  <c r="I14" i="1"/>
  <c r="I13" i="1"/>
  <c r="I12" i="1"/>
  <c r="I11" i="1"/>
  <c r="I10" i="1"/>
  <c r="I9" i="1"/>
  <c r="I8" i="1"/>
  <c r="I7" i="1"/>
  <c r="I6" i="1"/>
  <c r="M39" i="4"/>
  <c r="I5" i="1"/>
  <c r="M36" i="4"/>
  <c r="I4" i="1"/>
  <c r="G109" i="1"/>
  <c r="H72" i="2" s="1"/>
  <c r="F109" i="1"/>
  <c r="G17" i="2" s="1"/>
  <c r="E109" i="1"/>
  <c r="F72" i="2" s="1"/>
  <c r="D109" i="1"/>
  <c r="E17" i="2" s="1"/>
  <c r="C109" i="1"/>
  <c r="D17" i="2" s="1"/>
  <c r="C46" i="4"/>
  <c r="C35" i="4"/>
  <c r="C37" i="4" s="1"/>
  <c r="C57" i="4"/>
  <c r="C85" i="4"/>
  <c r="C87" i="4" s="1"/>
  <c r="C73" i="4"/>
  <c r="C75" i="4" s="1"/>
  <c r="D73" i="4" s="1"/>
  <c r="D75" i="4" s="1"/>
  <c r="E73" i="4" s="1"/>
  <c r="E75" i="4" s="1"/>
  <c r="F73" i="4" s="1"/>
  <c r="F75" i="4" s="1"/>
  <c r="G73" i="4" s="1"/>
  <c r="G75" i="4" s="1"/>
  <c r="H73" i="4" s="1"/>
  <c r="H75" i="4" s="1"/>
  <c r="C82" i="4"/>
  <c r="C84" i="4" s="1"/>
  <c r="D82" i="4" s="1"/>
  <c r="D84" i="4" s="1"/>
  <c r="E82" i="4" s="1"/>
  <c r="E84" i="4" s="1"/>
  <c r="F82" i="4" s="1"/>
  <c r="F84" i="4" s="1"/>
  <c r="G82" i="4" s="1"/>
  <c r="G84" i="4" s="1"/>
  <c r="H82" i="4" s="1"/>
  <c r="H84" i="4" s="1"/>
  <c r="C79" i="4"/>
  <c r="C81" i="4" s="1"/>
  <c r="D79" i="4" s="1"/>
  <c r="C76" i="4"/>
  <c r="C78" i="4" s="1"/>
  <c r="D76" i="4" s="1"/>
  <c r="D78" i="4" s="1"/>
  <c r="E76" i="4" s="1"/>
  <c r="E78" i="4" s="1"/>
  <c r="F76" i="4" s="1"/>
  <c r="F78" i="4" s="1"/>
  <c r="C70" i="4"/>
  <c r="C72" i="4" s="1"/>
  <c r="D70" i="4" s="1"/>
  <c r="D72" i="4" s="1"/>
  <c r="E70" i="4" s="1"/>
  <c r="E72" i="4" s="1"/>
  <c r="F70" i="4" s="1"/>
  <c r="F72" i="4" s="1"/>
  <c r="G70" i="4" s="1"/>
  <c r="G72" i="4" s="1"/>
  <c r="H70" i="4" s="1"/>
  <c r="H72" i="4" s="1"/>
  <c r="C64" i="4"/>
  <c r="C51" i="4"/>
  <c r="C53" i="4" s="1"/>
  <c r="C48" i="4"/>
  <c r="C50" i="4" s="1"/>
  <c r="D48" i="4" s="1"/>
  <c r="C38" i="4"/>
  <c r="C40" i="4" s="1"/>
  <c r="D107" i="2"/>
  <c r="D105" i="2" s="1"/>
  <c r="B18" i="3" s="1"/>
  <c r="H7" i="9" l="1"/>
  <c r="L37" i="9"/>
  <c r="L44" i="9"/>
  <c r="J114" i="2"/>
  <c r="S21" i="3" s="1"/>
  <c r="J115" i="2"/>
  <c r="S22" i="3" s="1"/>
  <c r="J113" i="2"/>
  <c r="S20" i="3" s="1"/>
  <c r="D35" i="4"/>
  <c r="D37" i="4" s="1"/>
  <c r="E35" i="4" s="1"/>
  <c r="I72" i="1"/>
  <c r="D29" i="9"/>
  <c r="J23" i="2"/>
  <c r="I100" i="1"/>
  <c r="K44" i="9"/>
  <c r="K50" i="9" s="1"/>
  <c r="D50" i="9"/>
  <c r="L50" i="9" s="1"/>
  <c r="D38" i="9"/>
  <c r="L38" i="9" s="1"/>
  <c r="K37" i="9"/>
  <c r="K38" i="9" s="1"/>
  <c r="J19" i="2"/>
  <c r="J10" i="2"/>
  <c r="J9" i="2"/>
  <c r="H91" i="2"/>
  <c r="I51" i="1"/>
  <c r="E72" i="2"/>
  <c r="H17" i="2"/>
  <c r="F17" i="2"/>
  <c r="I59" i="1"/>
  <c r="E91" i="2"/>
  <c r="D72" i="2"/>
  <c r="K14" i="9"/>
  <c r="F91" i="2"/>
  <c r="G91" i="2"/>
  <c r="G72" i="2"/>
  <c r="I38" i="1"/>
  <c r="I42" i="1"/>
  <c r="D54" i="4"/>
  <c r="I19" i="1"/>
  <c r="I85" i="1"/>
  <c r="D38" i="4"/>
  <c r="D40" i="4" s="1"/>
  <c r="E38" i="4" s="1"/>
  <c r="E40" i="4" s="1"/>
  <c r="F38" i="4" s="1"/>
  <c r="G76" i="4"/>
  <c r="G78" i="4" s="1"/>
  <c r="H76" i="4" s="1"/>
  <c r="H78" i="4" s="1"/>
  <c r="C103" i="4"/>
  <c r="D51" i="4"/>
  <c r="D53" i="4" s="1"/>
  <c r="E51" i="4" s="1"/>
  <c r="D85" i="4"/>
  <c r="D87" i="4" s="1"/>
  <c r="E85" i="4" s="1"/>
  <c r="E87" i="4" s="1"/>
  <c r="F85" i="4" s="1"/>
  <c r="F87" i="4" s="1"/>
  <c r="G85" i="4" s="1"/>
  <c r="G87" i="4" s="1"/>
  <c r="H85" i="4" s="1"/>
  <c r="H87" i="4" s="1"/>
  <c r="D81" i="4"/>
  <c r="E79" i="4" s="1"/>
  <c r="E81" i="4" s="1"/>
  <c r="F79" i="4" s="1"/>
  <c r="F81" i="4" s="1"/>
  <c r="G79" i="4" s="1"/>
  <c r="G81" i="4" s="1"/>
  <c r="H79" i="4" s="1"/>
  <c r="H81" i="4" s="1"/>
  <c r="D88" i="4"/>
  <c r="D50" i="4"/>
  <c r="E48" i="4" s="1"/>
  <c r="I62" i="1" l="1"/>
  <c r="I94" i="1"/>
  <c r="M28" i="4" s="1"/>
  <c r="K28" i="3"/>
  <c r="J17" i="2"/>
  <c r="D13" i="9"/>
  <c r="D7" i="9"/>
  <c r="J72" i="2"/>
  <c r="W30" i="3" s="1"/>
  <c r="I61" i="1"/>
  <c r="I74" i="1"/>
  <c r="I40" i="1"/>
  <c r="I44" i="1" s="1"/>
  <c r="D90" i="4"/>
  <c r="E88" i="4"/>
  <c r="E54" i="4"/>
  <c r="D56" i="4"/>
  <c r="G71" i="1"/>
  <c r="D71" i="1"/>
  <c r="D72" i="1" s="1"/>
  <c r="E71" i="1"/>
  <c r="E72" i="1" s="1"/>
  <c r="F71" i="1"/>
  <c r="F72" i="1" s="1"/>
  <c r="C71" i="1"/>
  <c r="C72" i="1" s="1"/>
  <c r="D100" i="1"/>
  <c r="E100" i="1"/>
  <c r="F100" i="1"/>
  <c r="G100" i="1"/>
  <c r="J71" i="1" l="1"/>
  <c r="G72" i="1"/>
  <c r="J72" i="1" s="1"/>
  <c r="D103" i="4"/>
  <c r="E90" i="4"/>
  <c r="F88" i="4"/>
  <c r="F54" i="4"/>
  <c r="E56" i="4"/>
  <c r="C1" i="5"/>
  <c r="E103" i="4" l="1"/>
  <c r="G88" i="4"/>
  <c r="F90" i="4"/>
  <c r="G54" i="4"/>
  <c r="F56" i="4"/>
  <c r="G9" i="5"/>
  <c r="K9" i="5"/>
  <c r="J9" i="5"/>
  <c r="I9" i="5"/>
  <c r="H9" i="5"/>
  <c r="D21" i="4"/>
  <c r="D24" i="4" s="1"/>
  <c r="D14" i="4"/>
  <c r="D17" i="4" s="1"/>
  <c r="D7" i="4"/>
  <c r="D10" i="4" s="1"/>
  <c r="G56" i="4" l="1"/>
  <c r="H54" i="4"/>
  <c r="H56" i="4" s="1"/>
  <c r="G90" i="4"/>
  <c r="H88" i="4"/>
  <c r="H90" i="4" s="1"/>
  <c r="D46" i="4"/>
  <c r="F103" i="4"/>
  <c r="E53" i="4"/>
  <c r="F51" i="4" s="1"/>
  <c r="E7" i="4"/>
  <c r="E21" i="4"/>
  <c r="E24" i="4" s="1"/>
  <c r="E14" i="4"/>
  <c r="E17" i="4" s="1"/>
  <c r="C1" i="4"/>
  <c r="D1" i="2"/>
  <c r="D85" i="1"/>
  <c r="G103" i="4" l="1"/>
  <c r="H103" i="4"/>
  <c r="E46" i="4"/>
  <c r="E10" i="4"/>
  <c r="F53" i="4"/>
  <c r="G51" i="4" s="1"/>
  <c r="F7" i="4"/>
  <c r="F10" i="4" s="1"/>
  <c r="F21" i="4"/>
  <c r="F24" i="4" s="1"/>
  <c r="F14" i="4"/>
  <c r="F17" i="4" s="1"/>
  <c r="E107" i="2"/>
  <c r="E105" i="2" s="1"/>
  <c r="C18" i="3" s="1"/>
  <c r="F107" i="2"/>
  <c r="F105" i="2" s="1"/>
  <c r="D18" i="3" s="1"/>
  <c r="G107" i="2"/>
  <c r="G105" i="2" s="1"/>
  <c r="E18" i="3" s="1"/>
  <c r="H107" i="2"/>
  <c r="H105" i="2" s="1"/>
  <c r="F18" i="3" s="1"/>
  <c r="I18" i="3" s="1"/>
  <c r="N65" i="4" l="1"/>
  <c r="H18" i="3"/>
  <c r="J105" i="2"/>
  <c r="G7" i="4"/>
  <c r="H7" i="4" s="1"/>
  <c r="F46" i="4"/>
  <c r="G53" i="4"/>
  <c r="H51" i="4" s="1"/>
  <c r="H53" i="4" s="1"/>
  <c r="G21" i="4"/>
  <c r="G14" i="4"/>
  <c r="C38" i="1"/>
  <c r="G17" i="4" l="1"/>
  <c r="H14" i="4"/>
  <c r="H17" i="4" s="1"/>
  <c r="G24" i="4"/>
  <c r="H21" i="4"/>
  <c r="H24" i="4" s="1"/>
  <c r="H10" i="4"/>
  <c r="G46" i="4"/>
  <c r="G10" i="4"/>
  <c r="E82" i="2"/>
  <c r="F82" i="2"/>
  <c r="G82" i="2"/>
  <c r="H82" i="2"/>
  <c r="E81" i="2"/>
  <c r="C85" i="1"/>
  <c r="D81" i="2" s="1"/>
  <c r="E85" i="1"/>
  <c r="F81" i="2" s="1"/>
  <c r="F85" i="1"/>
  <c r="G81" i="2" s="1"/>
  <c r="G85" i="1"/>
  <c r="J85" i="1" s="1"/>
  <c r="B83" i="1"/>
  <c r="A83" i="1"/>
  <c r="C100" i="1"/>
  <c r="J100" i="1" s="1"/>
  <c r="H46" i="4" l="1"/>
  <c r="E83" i="2"/>
  <c r="D82" i="2"/>
  <c r="J82" i="2" s="1"/>
  <c r="H81" i="2"/>
  <c r="H83" i="2" s="1"/>
  <c r="G83" i="2"/>
  <c r="F83" i="2"/>
  <c r="D83" i="2" l="1"/>
  <c r="J81" i="2"/>
  <c r="J83" i="2" s="1"/>
  <c r="R25" i="3" s="1"/>
  <c r="E47" i="2"/>
  <c r="F47" i="2"/>
  <c r="G47" i="2"/>
  <c r="H47" i="2"/>
  <c r="D47" i="2"/>
  <c r="J92" i="1" l="1"/>
  <c r="J47" i="2"/>
  <c r="C28" i="4"/>
  <c r="K7" i="9"/>
  <c r="E73" i="2"/>
  <c r="E74" i="2" s="1"/>
  <c r="D94" i="1"/>
  <c r="F73" i="2"/>
  <c r="F74" i="2" s="1"/>
  <c r="E94" i="1"/>
  <c r="D73" i="2"/>
  <c r="C94" i="1"/>
  <c r="G73" i="2"/>
  <c r="G74" i="2" s="1"/>
  <c r="F94" i="1"/>
  <c r="H73" i="2"/>
  <c r="H74" i="2" s="1"/>
  <c r="G94" i="1"/>
  <c r="C74" i="1"/>
  <c r="F74" i="1"/>
  <c r="E74" i="1"/>
  <c r="D74" i="1"/>
  <c r="G74" i="1"/>
  <c r="D22" i="2"/>
  <c r="D59" i="1"/>
  <c r="E59" i="1"/>
  <c r="F59" i="1"/>
  <c r="G59" i="1"/>
  <c r="C59" i="1"/>
  <c r="D51" i="1"/>
  <c r="E51" i="1"/>
  <c r="F51" i="1"/>
  <c r="G51" i="1"/>
  <c r="C51" i="1"/>
  <c r="E18" i="2"/>
  <c r="F18" i="2"/>
  <c r="G18" i="2"/>
  <c r="H18" i="2"/>
  <c r="E20" i="2"/>
  <c r="F20" i="2"/>
  <c r="G20" i="2"/>
  <c r="H20" i="2"/>
  <c r="D20" i="2"/>
  <c r="D18" i="2"/>
  <c r="E15" i="2"/>
  <c r="F15" i="2"/>
  <c r="G15" i="2"/>
  <c r="H15" i="2"/>
  <c r="D15" i="2"/>
  <c r="E14" i="2"/>
  <c r="F14" i="2"/>
  <c r="G14" i="2"/>
  <c r="H14" i="2"/>
  <c r="D14" i="2"/>
  <c r="E13" i="2"/>
  <c r="F13" i="2"/>
  <c r="G13" i="2"/>
  <c r="H13" i="2"/>
  <c r="D13" i="2"/>
  <c r="E12" i="2"/>
  <c r="F12" i="2"/>
  <c r="G12" i="2"/>
  <c r="H12" i="2"/>
  <c r="D12" i="2"/>
  <c r="E5" i="2"/>
  <c r="C3" i="5" s="1"/>
  <c r="C12" i="5" s="1"/>
  <c r="F5" i="2"/>
  <c r="D3" i="5" s="1"/>
  <c r="D12" i="5" s="1"/>
  <c r="G5" i="2"/>
  <c r="E3" i="5" s="1"/>
  <c r="E12" i="5" s="1"/>
  <c r="H5" i="2"/>
  <c r="F3" i="5" s="1"/>
  <c r="F12" i="5" s="1"/>
  <c r="D5" i="2"/>
  <c r="B3" i="5" s="1"/>
  <c r="D42" i="1"/>
  <c r="E42" i="1"/>
  <c r="F42" i="1"/>
  <c r="G42" i="1"/>
  <c r="C42" i="1"/>
  <c r="C19" i="1"/>
  <c r="D38" i="1"/>
  <c r="E38" i="1"/>
  <c r="F38" i="1"/>
  <c r="G38" i="1"/>
  <c r="J38" i="1" s="1"/>
  <c r="D19" i="1"/>
  <c r="E7" i="2" s="1"/>
  <c r="E19" i="1"/>
  <c r="F7" i="2" s="1"/>
  <c r="F19" i="1"/>
  <c r="G7" i="2" s="1"/>
  <c r="G19" i="1"/>
  <c r="J19" i="1" l="1"/>
  <c r="J94" i="1"/>
  <c r="J51" i="1"/>
  <c r="J74" i="1"/>
  <c r="J59" i="1"/>
  <c r="D74" i="2"/>
  <c r="J73" i="2"/>
  <c r="W31" i="3" s="1"/>
  <c r="D91" i="2"/>
  <c r="J91" i="2" s="1"/>
  <c r="J22" i="2"/>
  <c r="J13" i="2"/>
  <c r="J20" i="2"/>
  <c r="J18" i="2"/>
  <c r="J12" i="2"/>
  <c r="J15" i="2"/>
  <c r="J14" i="2"/>
  <c r="H15" i="9"/>
  <c r="B7" i="5"/>
  <c r="B7" i="3"/>
  <c r="F7" i="5"/>
  <c r="F7" i="3"/>
  <c r="E7" i="3"/>
  <c r="E7" i="5"/>
  <c r="D7" i="5"/>
  <c r="D7" i="3"/>
  <c r="C7" i="5"/>
  <c r="C7" i="3"/>
  <c r="F27" i="2"/>
  <c r="G35" i="2"/>
  <c r="E14" i="3" s="1"/>
  <c r="G15" i="9"/>
  <c r="D35" i="2"/>
  <c r="F35" i="2"/>
  <c r="D13" i="5" s="1"/>
  <c r="F15" i="9"/>
  <c r="E35" i="2"/>
  <c r="C14" i="3" s="1"/>
  <c r="E15" i="9"/>
  <c r="H7" i="2"/>
  <c r="H27" i="2" s="1"/>
  <c r="C44" i="4"/>
  <c r="B12" i="5"/>
  <c r="C20" i="5"/>
  <c r="H35" i="2"/>
  <c r="G61" i="1"/>
  <c r="F61" i="1"/>
  <c r="C61" i="1"/>
  <c r="E61" i="1"/>
  <c r="D61" i="1"/>
  <c r="H6" i="2"/>
  <c r="H36" i="2"/>
  <c r="H48" i="2" s="1"/>
  <c r="H49" i="2" s="1"/>
  <c r="F21" i="3" s="1"/>
  <c r="E6" i="2"/>
  <c r="E36" i="2"/>
  <c r="E48" i="2" s="1"/>
  <c r="E49" i="2" s="1"/>
  <c r="C21" i="3" s="1"/>
  <c r="E40" i="1"/>
  <c r="E44" i="1" s="1"/>
  <c r="F36" i="2"/>
  <c r="F48" i="2" s="1"/>
  <c r="F49" i="2" s="1"/>
  <c r="D21" i="3" s="1"/>
  <c r="C40" i="1"/>
  <c r="C44" i="1" s="1"/>
  <c r="D6" i="2"/>
  <c r="D36" i="2"/>
  <c r="G6" i="2"/>
  <c r="G36" i="2"/>
  <c r="G48" i="2" s="1"/>
  <c r="G49" i="2" s="1"/>
  <c r="E21" i="3" s="1"/>
  <c r="E27" i="2"/>
  <c r="G27" i="2"/>
  <c r="H34" i="2"/>
  <c r="H40" i="2" s="1"/>
  <c r="H46" i="2" s="1"/>
  <c r="H52" i="2" s="1"/>
  <c r="F2" i="3"/>
  <c r="H111" i="2" s="1"/>
  <c r="R18" i="3" s="1"/>
  <c r="F34" i="2"/>
  <c r="F40" i="2" s="1"/>
  <c r="F46" i="2" s="1"/>
  <c r="F52" i="2" s="1"/>
  <c r="D2" i="3"/>
  <c r="F111" i="2" s="1"/>
  <c r="P18" i="3" s="1"/>
  <c r="G34" i="2"/>
  <c r="G40" i="2" s="1"/>
  <c r="G46" i="2" s="1"/>
  <c r="G52" i="2" s="1"/>
  <c r="E2" i="3"/>
  <c r="G111" i="2" s="1"/>
  <c r="Q18" i="3" s="1"/>
  <c r="E34" i="2"/>
  <c r="E40" i="2" s="1"/>
  <c r="E46" i="2" s="1"/>
  <c r="E52" i="2" s="1"/>
  <c r="C2" i="3"/>
  <c r="E111" i="2" s="1"/>
  <c r="O18" i="3" s="1"/>
  <c r="D34" i="2"/>
  <c r="D40" i="2" s="1"/>
  <c r="D46" i="2" s="1"/>
  <c r="D52" i="2" s="1"/>
  <c r="B2" i="3"/>
  <c r="D111" i="2" s="1"/>
  <c r="N18" i="3" s="1"/>
  <c r="F6" i="2"/>
  <c r="F26" i="2" s="1"/>
  <c r="F8" i="9" s="1"/>
  <c r="D7" i="2"/>
  <c r="D27" i="2" s="1"/>
  <c r="G40" i="1"/>
  <c r="F40" i="1"/>
  <c r="F44" i="1" s="1"/>
  <c r="D40" i="1"/>
  <c r="D44" i="1" s="1"/>
  <c r="D21" i="1"/>
  <c r="D115" i="1" s="1"/>
  <c r="E21" i="1"/>
  <c r="E115" i="1" s="1"/>
  <c r="F21" i="1"/>
  <c r="F115" i="1" s="1"/>
  <c r="G21" i="1"/>
  <c r="G115" i="1" s="1"/>
  <c r="C21" i="1"/>
  <c r="C115" i="1" s="1"/>
  <c r="I7" i="3" l="1"/>
  <c r="J40" i="1"/>
  <c r="J74" i="2"/>
  <c r="J7" i="2"/>
  <c r="B13" i="5"/>
  <c r="J35" i="2"/>
  <c r="J36" i="2"/>
  <c r="D26" i="2"/>
  <c r="B5" i="3" s="1"/>
  <c r="J6" i="2"/>
  <c r="G44" i="1"/>
  <c r="E12" i="3"/>
  <c r="C12" i="3"/>
  <c r="D12" i="3"/>
  <c r="B12" i="3"/>
  <c r="E41" i="2"/>
  <c r="E60" i="2" s="1"/>
  <c r="E66" i="2" s="1"/>
  <c r="G41" i="2"/>
  <c r="G60" i="2" s="1"/>
  <c r="G66" i="2" s="1"/>
  <c r="C13" i="5"/>
  <c r="B14" i="3"/>
  <c r="F41" i="2"/>
  <c r="F60" i="2" s="1"/>
  <c r="F66" i="2" s="1"/>
  <c r="E13" i="5"/>
  <c r="D41" i="2"/>
  <c r="F9" i="9"/>
  <c r="D5" i="5"/>
  <c r="D5" i="3"/>
  <c r="K13" i="9"/>
  <c r="K15" i="9" s="1"/>
  <c r="D15" i="9"/>
  <c r="D14" i="3"/>
  <c r="G8" i="2"/>
  <c r="G26" i="2"/>
  <c r="G8" i="9" s="1"/>
  <c r="F37" i="2"/>
  <c r="D19" i="3" s="1"/>
  <c r="E26" i="2"/>
  <c r="H26" i="2"/>
  <c r="G37" i="2"/>
  <c r="E17" i="5" s="1"/>
  <c r="E37" i="2"/>
  <c r="C17" i="5" s="1"/>
  <c r="F127" i="1"/>
  <c r="F64" i="1"/>
  <c r="F96" i="1"/>
  <c r="F111" i="1"/>
  <c r="F46" i="1"/>
  <c r="F133" i="1"/>
  <c r="F76" i="1"/>
  <c r="F102" i="1"/>
  <c r="F121" i="1"/>
  <c r="F87" i="1"/>
  <c r="F53" i="1"/>
  <c r="F105" i="1"/>
  <c r="D87" i="1"/>
  <c r="D46" i="1"/>
  <c r="D105" i="1"/>
  <c r="D127" i="1"/>
  <c r="D96" i="1"/>
  <c r="D111" i="1"/>
  <c r="D53" i="1"/>
  <c r="D133" i="1"/>
  <c r="D76" i="1"/>
  <c r="D102" i="1"/>
  <c r="D121" i="1"/>
  <c r="D64" i="1"/>
  <c r="E105" i="1"/>
  <c r="E64" i="1"/>
  <c r="E127" i="1"/>
  <c r="E46" i="1"/>
  <c r="E96" i="1"/>
  <c r="E111" i="1"/>
  <c r="E133" i="1"/>
  <c r="E76" i="1"/>
  <c r="E102" i="1"/>
  <c r="E53" i="1"/>
  <c r="E121" i="1"/>
  <c r="E87" i="1"/>
  <c r="C46" i="1"/>
  <c r="C121" i="1"/>
  <c r="C105" i="1"/>
  <c r="C127" i="1"/>
  <c r="C64" i="1"/>
  <c r="C96" i="1"/>
  <c r="C53" i="1"/>
  <c r="C111" i="1"/>
  <c r="C133" i="1"/>
  <c r="C76" i="1"/>
  <c r="C87" i="1"/>
  <c r="C102" i="1"/>
  <c r="G96" i="1"/>
  <c r="G111" i="1"/>
  <c r="G133" i="1"/>
  <c r="G76" i="1"/>
  <c r="G64" i="1"/>
  <c r="G102" i="1"/>
  <c r="G46" i="1"/>
  <c r="G121" i="1"/>
  <c r="G87" i="1"/>
  <c r="G105" i="1"/>
  <c r="G127" i="1"/>
  <c r="G53" i="1"/>
  <c r="C47" i="4"/>
  <c r="C102" i="4" s="1"/>
  <c r="G7" i="5" s="1"/>
  <c r="D44" i="4"/>
  <c r="E44" i="4" s="1"/>
  <c r="H41" i="2"/>
  <c r="H60" i="2" s="1"/>
  <c r="H66" i="2" s="1"/>
  <c r="H68" i="2" s="1"/>
  <c r="C41" i="4"/>
  <c r="C43" i="4" s="1"/>
  <c r="E9" i="3"/>
  <c r="E9" i="5"/>
  <c r="C9" i="3"/>
  <c r="C9" i="5"/>
  <c r="D9" i="3"/>
  <c r="D9" i="5"/>
  <c r="F9" i="3"/>
  <c r="F9" i="5"/>
  <c r="H37" i="2"/>
  <c r="F19" i="3" s="1"/>
  <c r="B9" i="3"/>
  <c r="I9" i="3" s="1"/>
  <c r="B9" i="5"/>
  <c r="E4" i="3"/>
  <c r="E4" i="5"/>
  <c r="F4" i="3"/>
  <c r="F4" i="5"/>
  <c r="D4" i="3"/>
  <c r="D4" i="5"/>
  <c r="C4" i="3"/>
  <c r="C4" i="5"/>
  <c r="F14" i="3"/>
  <c r="F13" i="5"/>
  <c r="F12" i="3"/>
  <c r="C5" i="4"/>
  <c r="G3" i="5" s="1"/>
  <c r="D21" i="9" s="1"/>
  <c r="F71" i="2"/>
  <c r="F80" i="2" s="1"/>
  <c r="F89" i="2" s="1"/>
  <c r="F95" i="2" s="1"/>
  <c r="F104" i="2" s="1"/>
  <c r="F58" i="2"/>
  <c r="F65" i="2" s="1"/>
  <c r="H71" i="2"/>
  <c r="H80" i="2" s="1"/>
  <c r="H89" i="2" s="1"/>
  <c r="H95" i="2" s="1"/>
  <c r="H104" i="2" s="1"/>
  <c r="H58" i="2"/>
  <c r="H65" i="2" s="1"/>
  <c r="D71" i="2"/>
  <c r="D80" i="2" s="1"/>
  <c r="D89" i="2" s="1"/>
  <c r="D95" i="2" s="1"/>
  <c r="D104" i="2" s="1"/>
  <c r="D58" i="2"/>
  <c r="D65" i="2" s="1"/>
  <c r="G71" i="2"/>
  <c r="G80" i="2" s="1"/>
  <c r="G89" i="2" s="1"/>
  <c r="G95" i="2" s="1"/>
  <c r="G104" i="2" s="1"/>
  <c r="G58" i="2"/>
  <c r="G65" i="2" s="1"/>
  <c r="E71" i="2"/>
  <c r="E80" i="2" s="1"/>
  <c r="E89" i="2" s="1"/>
  <c r="E95" i="2" s="1"/>
  <c r="E104" i="2" s="1"/>
  <c r="E58" i="2"/>
  <c r="E65" i="2" s="1"/>
  <c r="H7" i="3"/>
  <c r="H8" i="2"/>
  <c r="E8" i="2"/>
  <c r="D48" i="2"/>
  <c r="D37" i="2"/>
  <c r="D8" i="2"/>
  <c r="B3" i="3" s="1"/>
  <c r="B4" i="5"/>
  <c r="F8" i="2"/>
  <c r="D27" i="9" l="1"/>
  <c r="I14" i="3"/>
  <c r="E16" i="2"/>
  <c r="C3" i="3"/>
  <c r="G16" i="2"/>
  <c r="G106" i="2" s="1"/>
  <c r="G108" i="2" s="1"/>
  <c r="E13" i="3" s="1"/>
  <c r="E3" i="3"/>
  <c r="F16" i="2"/>
  <c r="F21" i="2" s="1"/>
  <c r="F24" i="2" s="1"/>
  <c r="D10" i="3" s="1"/>
  <c r="D3" i="3"/>
  <c r="H16" i="2"/>
  <c r="H21" i="2" s="1"/>
  <c r="H24" i="2" s="1"/>
  <c r="F3" i="3"/>
  <c r="I3" i="3" s="1"/>
  <c r="C58" i="4"/>
  <c r="C99" i="4" s="1"/>
  <c r="D8" i="9"/>
  <c r="D9" i="9" s="1"/>
  <c r="B5" i="5"/>
  <c r="B6" i="5" s="1"/>
  <c r="B8" i="5" s="1"/>
  <c r="J37" i="2"/>
  <c r="D60" i="2"/>
  <c r="J41" i="2"/>
  <c r="E97" i="2"/>
  <c r="E8" i="9"/>
  <c r="E9" i="9" s="1"/>
  <c r="H97" i="2"/>
  <c r="H8" i="9"/>
  <c r="H9" i="9" s="1"/>
  <c r="J26" i="2"/>
  <c r="D49" i="2"/>
  <c r="B21" i="3" s="1"/>
  <c r="I21" i="3" s="1"/>
  <c r="J48" i="2"/>
  <c r="J49" i="2" s="1"/>
  <c r="D16" i="2"/>
  <c r="D106" i="2" s="1"/>
  <c r="D108" i="2" s="1"/>
  <c r="B13" i="3" s="1"/>
  <c r="J8" i="2"/>
  <c r="J27" i="2"/>
  <c r="H14" i="3"/>
  <c r="E28" i="2"/>
  <c r="E90" i="2" s="1"/>
  <c r="E92" i="2" s="1"/>
  <c r="H28" i="2"/>
  <c r="D17" i="5"/>
  <c r="E19" i="3"/>
  <c r="C19" i="3"/>
  <c r="F5" i="5"/>
  <c r="F6" i="5" s="1"/>
  <c r="F8" i="5" s="1"/>
  <c r="F5" i="3"/>
  <c r="F6" i="3" s="1"/>
  <c r="C5" i="3"/>
  <c r="C6" i="3" s="1"/>
  <c r="C8" i="3" s="1"/>
  <c r="C5" i="5"/>
  <c r="C6" i="5" s="1"/>
  <c r="C8" i="5" s="1"/>
  <c r="G9" i="9"/>
  <c r="E5" i="5"/>
  <c r="E6" i="5" s="1"/>
  <c r="E8" i="5" s="1"/>
  <c r="E5" i="3"/>
  <c r="E6" i="3" s="1"/>
  <c r="E8" i="3" s="1"/>
  <c r="E21" i="2"/>
  <c r="E24" i="2" s="1"/>
  <c r="C10" i="3" s="1"/>
  <c r="E106" i="2"/>
  <c r="E108" i="2" s="1"/>
  <c r="C13" i="3" s="1"/>
  <c r="D97" i="2"/>
  <c r="D47" i="4"/>
  <c r="F44" i="4"/>
  <c r="G44" i="4" s="1"/>
  <c r="H44" i="4" s="1"/>
  <c r="H47" i="4" s="1"/>
  <c r="H102" i="4" s="1"/>
  <c r="L7" i="5" s="1"/>
  <c r="E47" i="4"/>
  <c r="E102" i="4" s="1"/>
  <c r="I7" i="5" s="1"/>
  <c r="F17" i="5"/>
  <c r="H9" i="3"/>
  <c r="G12" i="5"/>
  <c r="G68" i="2"/>
  <c r="E15" i="5" s="1"/>
  <c r="F68" i="2"/>
  <c r="D15" i="5" s="1"/>
  <c r="E68" i="2"/>
  <c r="C15" i="5" s="1"/>
  <c r="D6" i="3"/>
  <c r="D8" i="3" s="1"/>
  <c r="D6" i="5"/>
  <c r="D8" i="5" s="1"/>
  <c r="B19" i="3"/>
  <c r="I19" i="3" s="1"/>
  <c r="B17" i="5"/>
  <c r="F17" i="3"/>
  <c r="F15" i="5"/>
  <c r="C12" i="4"/>
  <c r="C19" i="4" s="1"/>
  <c r="D5" i="4"/>
  <c r="H3" i="5" s="1"/>
  <c r="G97" i="2"/>
  <c r="G28" i="2"/>
  <c r="G96" i="2" s="1"/>
  <c r="D28" i="2"/>
  <c r="D96" i="2" s="1"/>
  <c r="B4" i="3"/>
  <c r="I4" i="3" s="1"/>
  <c r="F28" i="2"/>
  <c r="F97" i="2"/>
  <c r="D102" i="4" l="1"/>
  <c r="H7" i="5" s="1"/>
  <c r="I5" i="3"/>
  <c r="G21" i="2"/>
  <c r="G24" i="2" s="1"/>
  <c r="H106" i="2"/>
  <c r="H108" i="2" s="1"/>
  <c r="F13" i="3" s="1"/>
  <c r="I13" i="3" s="1"/>
  <c r="H42" i="2"/>
  <c r="H53" i="2" s="1"/>
  <c r="H55" i="2" s="1"/>
  <c r="F14" i="5" s="1"/>
  <c r="F106" i="2"/>
  <c r="F108" i="2" s="1"/>
  <c r="D13" i="3" s="1"/>
  <c r="H3" i="3"/>
  <c r="K25" i="3"/>
  <c r="V20" i="3"/>
  <c r="V21" i="3" s="1"/>
  <c r="H12" i="5"/>
  <c r="E21" i="9"/>
  <c r="E27" i="9" s="1"/>
  <c r="D66" i="2"/>
  <c r="J60" i="2"/>
  <c r="H21" i="3"/>
  <c r="S14" i="3" s="1"/>
  <c r="O14" i="3" s="1"/>
  <c r="J97" i="2"/>
  <c r="D21" i="2"/>
  <c r="D42" i="2" s="1"/>
  <c r="J16" i="2"/>
  <c r="J106" i="2" s="1"/>
  <c r="J108" i="2" s="1"/>
  <c r="H96" i="2"/>
  <c r="H98" i="2" s="1"/>
  <c r="J28" i="2"/>
  <c r="H19" i="3"/>
  <c r="S12" i="3" s="1"/>
  <c r="O12" i="3" s="1"/>
  <c r="E96" i="2"/>
  <c r="E98" i="2" s="1"/>
  <c r="H90" i="2"/>
  <c r="H92" i="2" s="1"/>
  <c r="D98" i="2"/>
  <c r="F42" i="2"/>
  <c r="F53" i="2" s="1"/>
  <c r="F55" i="2" s="1"/>
  <c r="D14" i="5" s="1"/>
  <c r="K8" i="9"/>
  <c r="K9" i="9" s="1"/>
  <c r="D10" i="5"/>
  <c r="E42" i="2"/>
  <c r="E43" i="2" s="1"/>
  <c r="C10" i="5"/>
  <c r="G98" i="2"/>
  <c r="F47" i="4"/>
  <c r="F102" i="4" s="1"/>
  <c r="J7" i="5" s="1"/>
  <c r="F15" i="3"/>
  <c r="F10" i="5"/>
  <c r="G47" i="4"/>
  <c r="G102" i="4" s="1"/>
  <c r="K7" i="5" s="1"/>
  <c r="C34" i="4"/>
  <c r="C27" i="4"/>
  <c r="G4" i="5"/>
  <c r="C17" i="3"/>
  <c r="D17" i="3"/>
  <c r="E17" i="3"/>
  <c r="D12" i="4"/>
  <c r="E5" i="4"/>
  <c r="I3" i="5" s="1"/>
  <c r="H5" i="3"/>
  <c r="G90" i="2"/>
  <c r="G92" i="2" s="1"/>
  <c r="H4" i="3"/>
  <c r="D90" i="2"/>
  <c r="B6" i="3"/>
  <c r="I6" i="3" s="1"/>
  <c r="F8" i="3"/>
  <c r="F96" i="2"/>
  <c r="F98" i="2" s="1"/>
  <c r="F90" i="2"/>
  <c r="F92" i="2" s="1"/>
  <c r="G42" i="2" l="1"/>
  <c r="J42" i="2" s="1"/>
  <c r="J43" i="2" s="1"/>
  <c r="H13" i="3"/>
  <c r="H59" i="2"/>
  <c r="H61" i="2" s="1"/>
  <c r="F16" i="3" s="1"/>
  <c r="H43" i="2"/>
  <c r="F18" i="5" s="1"/>
  <c r="I12" i="5"/>
  <c r="F21" i="9"/>
  <c r="F27" i="9" s="1"/>
  <c r="C63" i="4"/>
  <c r="H6" i="3"/>
  <c r="H8" i="3" s="1"/>
  <c r="F43" i="2"/>
  <c r="D20" i="3" s="1"/>
  <c r="J66" i="2"/>
  <c r="J68" i="2" s="1"/>
  <c r="D68" i="2"/>
  <c r="J96" i="2"/>
  <c r="J98" i="2" s="1"/>
  <c r="S16" i="3" s="1"/>
  <c r="O16" i="3" s="1"/>
  <c r="D92" i="2"/>
  <c r="J90" i="2"/>
  <c r="J92" i="2" s="1"/>
  <c r="S15" i="3" s="1"/>
  <c r="O15" i="3" s="1"/>
  <c r="D24" i="2"/>
  <c r="J21" i="2"/>
  <c r="D53" i="2"/>
  <c r="E53" i="2"/>
  <c r="E55" i="2" s="1"/>
  <c r="C14" i="5" s="1"/>
  <c r="D15" i="3"/>
  <c r="F59" i="2"/>
  <c r="F61" i="2" s="1"/>
  <c r="D16" i="3" s="1"/>
  <c r="C18" i="5"/>
  <c r="C20" i="3"/>
  <c r="E10" i="3"/>
  <c r="E10" i="5"/>
  <c r="F10" i="3"/>
  <c r="F40" i="4"/>
  <c r="G38" i="4" s="1"/>
  <c r="D19" i="4"/>
  <c r="D27" i="4" s="1"/>
  <c r="D43" i="2"/>
  <c r="E12" i="4"/>
  <c r="F5" i="4"/>
  <c r="J3" i="5" s="1"/>
  <c r="B8" i="3"/>
  <c r="I8" i="3" s="1"/>
  <c r="G53" i="2" l="1"/>
  <c r="G55" i="2" s="1"/>
  <c r="E14" i="5" s="1"/>
  <c r="F20" i="3"/>
  <c r="G43" i="2"/>
  <c r="E20" i="3" s="1"/>
  <c r="C98" i="4"/>
  <c r="C123" i="4" s="1"/>
  <c r="C129" i="4" s="1"/>
  <c r="C141" i="4" s="1"/>
  <c r="C150" i="4" s="1"/>
  <c r="C156" i="4" s="1"/>
  <c r="C65" i="4"/>
  <c r="C69" i="4" s="1"/>
  <c r="J12" i="5"/>
  <c r="G21" i="9"/>
  <c r="G27" i="9" s="1"/>
  <c r="D18" i="5"/>
  <c r="C15" i="3"/>
  <c r="B15" i="5"/>
  <c r="B17" i="3"/>
  <c r="I17" i="3" s="1"/>
  <c r="J24" i="2"/>
  <c r="H10" i="3" s="1"/>
  <c r="B10" i="3"/>
  <c r="I10" i="3" s="1"/>
  <c r="B10" i="5"/>
  <c r="B18" i="5"/>
  <c r="D55" i="2"/>
  <c r="J53" i="2"/>
  <c r="J55" i="2" s="1"/>
  <c r="E59" i="2"/>
  <c r="E61" i="2" s="1"/>
  <c r="C16" i="3" s="1"/>
  <c r="E15" i="3"/>
  <c r="G40" i="4"/>
  <c r="H38" i="4" s="1"/>
  <c r="H40" i="4" s="1"/>
  <c r="E19" i="4"/>
  <c r="E27" i="4" s="1"/>
  <c r="D34" i="4"/>
  <c r="B20" i="3"/>
  <c r="I20" i="3" s="1"/>
  <c r="G5" i="4"/>
  <c r="H5" i="4" s="1"/>
  <c r="F12" i="4"/>
  <c r="E18" i="5" l="1"/>
  <c r="G59" i="2"/>
  <c r="G61" i="2" s="1"/>
  <c r="E16" i="3" s="1"/>
  <c r="C135" i="4"/>
  <c r="D64" i="4"/>
  <c r="C92" i="4"/>
  <c r="D63" i="4"/>
  <c r="H17" i="3"/>
  <c r="H12" i="4"/>
  <c r="H19" i="4" s="1"/>
  <c r="H27" i="4" s="1"/>
  <c r="L3" i="5"/>
  <c r="I21" i="9" s="1"/>
  <c r="B14" i="5"/>
  <c r="B15" i="3"/>
  <c r="I15" i="3" s="1"/>
  <c r="D59" i="2"/>
  <c r="H20" i="3"/>
  <c r="S13" i="3" s="1"/>
  <c r="O13" i="3" s="1"/>
  <c r="E34" i="4"/>
  <c r="F19" i="4"/>
  <c r="F27" i="4" s="1"/>
  <c r="G12" i="4"/>
  <c r="K3" i="5"/>
  <c r="H21" i="9" s="1"/>
  <c r="H27" i="9" s="1"/>
  <c r="I27" i="9" l="1"/>
  <c r="C18" i="9"/>
  <c r="D98" i="4"/>
  <c r="D123" i="4" s="1"/>
  <c r="D129" i="4" s="1"/>
  <c r="D141" i="4" s="1"/>
  <c r="D150" i="4" s="1"/>
  <c r="D156" i="4" s="1"/>
  <c r="D65" i="4"/>
  <c r="D69" i="4" s="1"/>
  <c r="D92" i="4" s="1"/>
  <c r="C125" i="4"/>
  <c r="C158" i="4" s="1"/>
  <c r="C100" i="4"/>
  <c r="E29" i="9"/>
  <c r="E63" i="4"/>
  <c r="H34" i="4"/>
  <c r="L12" i="5"/>
  <c r="G20" i="5"/>
  <c r="H15" i="3"/>
  <c r="D61" i="2"/>
  <c r="B16" i="3" s="1"/>
  <c r="I16" i="3" s="1"/>
  <c r="J59" i="2"/>
  <c r="J61" i="2" s="1"/>
  <c r="F34" i="4"/>
  <c r="G19" i="4"/>
  <c r="G27" i="4" s="1"/>
  <c r="K12" i="5"/>
  <c r="D135" i="4" l="1"/>
  <c r="D20" i="5"/>
  <c r="K26" i="3"/>
  <c r="E64" i="4"/>
  <c r="G5" i="5"/>
  <c r="D23" i="9" s="1"/>
  <c r="C101" i="4"/>
  <c r="E98" i="4"/>
  <c r="E123" i="4" s="1"/>
  <c r="E129" i="4" s="1"/>
  <c r="E141" i="4" s="1"/>
  <c r="E150" i="4" s="1"/>
  <c r="E156" i="4" s="1"/>
  <c r="E65" i="4"/>
  <c r="F63" i="4"/>
  <c r="H63" i="4"/>
  <c r="H16" i="3"/>
  <c r="E37" i="4"/>
  <c r="F35" i="4" s="1"/>
  <c r="G34" i="4"/>
  <c r="E135" i="4" l="1"/>
  <c r="O27" i="3"/>
  <c r="O28" i="3"/>
  <c r="O25" i="3"/>
  <c r="O26" i="3"/>
  <c r="C104" i="4"/>
  <c r="G6" i="5"/>
  <c r="F98" i="4"/>
  <c r="F123" i="4" s="1"/>
  <c r="F129" i="4" s="1"/>
  <c r="F141" i="4" s="1"/>
  <c r="F150" i="4" s="1"/>
  <c r="F156" i="4" s="1"/>
  <c r="F65" i="4"/>
  <c r="D125" i="4"/>
  <c r="D158" i="4" s="1"/>
  <c r="D100" i="4"/>
  <c r="H5" i="5" s="1"/>
  <c r="E23" i="9" s="1"/>
  <c r="H98" i="4"/>
  <c r="H123" i="4" s="1"/>
  <c r="H129" i="4" s="1"/>
  <c r="H141" i="4" s="1"/>
  <c r="H150" i="4" s="1"/>
  <c r="H156" i="4" s="1"/>
  <c r="H65" i="4"/>
  <c r="F29" i="9"/>
  <c r="E69" i="4"/>
  <c r="G63" i="4"/>
  <c r="C110" i="4" l="1"/>
  <c r="D28" i="4" s="1"/>
  <c r="D41" i="4" s="1"/>
  <c r="D43" i="4" s="1"/>
  <c r="D58" i="4" s="1"/>
  <c r="D22" i="9"/>
  <c r="D24" i="9" s="1"/>
  <c r="N25" i="3"/>
  <c r="M25" i="3"/>
  <c r="N28" i="3"/>
  <c r="M28" i="3"/>
  <c r="N26" i="3"/>
  <c r="M26" i="3"/>
  <c r="M27" i="3"/>
  <c r="N27" i="3"/>
  <c r="F135" i="4"/>
  <c r="H135" i="4"/>
  <c r="G98" i="4"/>
  <c r="G123" i="4" s="1"/>
  <c r="G129" i="4" s="1"/>
  <c r="G141" i="4" s="1"/>
  <c r="G150" i="4" s="1"/>
  <c r="G156" i="4" s="1"/>
  <c r="G65" i="4"/>
  <c r="E92" i="4"/>
  <c r="F64" i="4"/>
  <c r="D28" i="9"/>
  <c r="D30" i="9" s="1"/>
  <c r="C106" i="4"/>
  <c r="G10" i="5" s="1"/>
  <c r="C108" i="4"/>
  <c r="G8" i="5"/>
  <c r="C131" i="4"/>
  <c r="E50" i="4"/>
  <c r="F48" i="4" s="1"/>
  <c r="D99" i="4" l="1"/>
  <c r="H4" i="5" s="1"/>
  <c r="G135" i="4"/>
  <c r="F69" i="4"/>
  <c r="G29" i="9"/>
  <c r="C151" i="4"/>
  <c r="C136" i="4"/>
  <c r="C138" i="4" s="1"/>
  <c r="G14" i="5" s="1"/>
  <c r="E125" i="4"/>
  <c r="E158" i="4" s="1"/>
  <c r="E100" i="4"/>
  <c r="I5" i="5" s="1"/>
  <c r="F23" i="9" s="1"/>
  <c r="C124" i="4"/>
  <c r="G13" i="5"/>
  <c r="D101" i="4" l="1"/>
  <c r="D104" i="4" s="1"/>
  <c r="C126" i="4"/>
  <c r="G17" i="5" s="1"/>
  <c r="C130" i="4"/>
  <c r="F92" i="4"/>
  <c r="G64" i="4"/>
  <c r="C153" i="4"/>
  <c r="C157" i="4"/>
  <c r="C159" i="4" s="1"/>
  <c r="D110" i="4" l="1"/>
  <c r="E28" i="4" s="1"/>
  <c r="E41" i="4" s="1"/>
  <c r="E43" i="4" s="1"/>
  <c r="E58" i="4" s="1"/>
  <c r="E99" i="4" s="1"/>
  <c r="E101" i="4" s="1"/>
  <c r="D108" i="4"/>
  <c r="H6" i="5"/>
  <c r="C142" i="4"/>
  <c r="C144" i="4" s="1"/>
  <c r="G15" i="5" s="1"/>
  <c r="C132" i="4"/>
  <c r="G18" i="5" s="1"/>
  <c r="H29" i="9"/>
  <c r="K29" i="9" s="1"/>
  <c r="G69" i="4"/>
  <c r="F100" i="4"/>
  <c r="J5" i="5" s="1"/>
  <c r="G23" i="9" s="1"/>
  <c r="F125" i="4"/>
  <c r="F158" i="4" s="1"/>
  <c r="D106" i="4"/>
  <c r="H10" i="5" s="1"/>
  <c r="D131" i="4"/>
  <c r="H8" i="5"/>
  <c r="E22" i="9"/>
  <c r="E24" i="9" s="1"/>
  <c r="E28" i="9"/>
  <c r="E30" i="9" s="1"/>
  <c r="F37" i="4"/>
  <c r="G35" i="4" s="1"/>
  <c r="D124" i="4" l="1"/>
  <c r="H13" i="5"/>
  <c r="H64" i="4"/>
  <c r="G92" i="4"/>
  <c r="D151" i="4"/>
  <c r="D136" i="4"/>
  <c r="D138" i="4" s="1"/>
  <c r="H14" i="5" s="1"/>
  <c r="F50" i="4"/>
  <c r="G48" i="4" s="1"/>
  <c r="E104" i="4"/>
  <c r="F28" i="9" s="1"/>
  <c r="I4" i="5"/>
  <c r="I6" i="5"/>
  <c r="E110" i="4" l="1"/>
  <c r="E108" i="4"/>
  <c r="G125" i="4"/>
  <c r="G158" i="4" s="1"/>
  <c r="G100" i="4"/>
  <c r="K5" i="5" s="1"/>
  <c r="H23" i="9" s="1"/>
  <c r="K23" i="9" s="1"/>
  <c r="I29" i="9"/>
  <c r="H69" i="4"/>
  <c r="H92" i="4" s="1"/>
  <c r="D157" i="4"/>
  <c r="D159" i="4" s="1"/>
  <c r="D153" i="4"/>
  <c r="D126" i="4"/>
  <c r="H17" i="5" s="1"/>
  <c r="D130" i="4"/>
  <c r="F22" i="9"/>
  <c r="E106" i="4"/>
  <c r="I10" i="5" s="1"/>
  <c r="I8" i="5"/>
  <c r="E131" i="4"/>
  <c r="D132" i="4" l="1"/>
  <c r="H18" i="5" s="1"/>
  <c r="D142" i="4"/>
  <c r="D144" i="4" s="1"/>
  <c r="H15" i="5" s="1"/>
  <c r="H125" i="4"/>
  <c r="H158" i="4" s="1"/>
  <c r="H100" i="4"/>
  <c r="L5" i="5" s="1"/>
  <c r="I23" i="9" s="1"/>
  <c r="F24" i="9"/>
  <c r="E124" i="4"/>
  <c r="E126" i="4" s="1"/>
  <c r="F28" i="4"/>
  <c r="F41" i="4" s="1"/>
  <c r="F43" i="4" s="1"/>
  <c r="F58" i="4" s="1"/>
  <c r="F30" i="9"/>
  <c r="I13" i="5"/>
  <c r="E151" i="4"/>
  <c r="E153" i="4" s="1"/>
  <c r="E136" i="4"/>
  <c r="E138" i="4" s="1"/>
  <c r="I14" i="5" s="1"/>
  <c r="F99" i="4" l="1"/>
  <c r="E130" i="4"/>
  <c r="I17" i="5"/>
  <c r="E157" i="4"/>
  <c r="E159" i="4" s="1"/>
  <c r="J4" i="5" l="1"/>
  <c r="G37" i="4"/>
  <c r="H35" i="4" s="1"/>
  <c r="H37" i="4" s="1"/>
  <c r="E132" i="4"/>
  <c r="I18" i="5" s="1"/>
  <c r="E142" i="4"/>
  <c r="E144" i="4" s="1"/>
  <c r="I15" i="5" s="1"/>
  <c r="F101" i="4" l="1"/>
  <c r="F104" i="4" s="1"/>
  <c r="F110" i="4" l="1"/>
  <c r="F108" i="4"/>
  <c r="G28" i="9"/>
  <c r="G22" i="9"/>
  <c r="F106" i="4"/>
  <c r="J6" i="5"/>
  <c r="G50" i="4"/>
  <c r="H48" i="4" s="1"/>
  <c r="H50" i="4" s="1"/>
  <c r="F124" i="4" l="1"/>
  <c r="F126" i="4" s="1"/>
  <c r="G30" i="9"/>
  <c r="G24" i="9"/>
  <c r="G28" i="4"/>
  <c r="J8" i="5"/>
  <c r="F131" i="4"/>
  <c r="F151" i="4" s="1"/>
  <c r="F153" i="4" s="1"/>
  <c r="J10" i="5"/>
  <c r="J13" i="5"/>
  <c r="G41" i="4" l="1"/>
  <c r="G43" i="4" s="1"/>
  <c r="G58" i="4" s="1"/>
  <c r="F136" i="4"/>
  <c r="F138" i="4" s="1"/>
  <c r="J14" i="5" s="1"/>
  <c r="J17" i="5"/>
  <c r="F130" i="4"/>
  <c r="F157" i="4"/>
  <c r="F159" i="4" s="1"/>
  <c r="G99" i="4" l="1"/>
  <c r="K4" i="5" s="1"/>
  <c r="F142" i="4"/>
  <c r="F144" i="4" s="1"/>
  <c r="J15" i="5" s="1"/>
  <c r="F132" i="4"/>
  <c r="J18" i="5" s="1"/>
  <c r="G101" i="4" l="1"/>
  <c r="G104" i="4" s="1"/>
  <c r="G110" i="4" l="1"/>
  <c r="G108" i="4"/>
  <c r="K6" i="5"/>
  <c r="H22" i="9"/>
  <c r="H28" i="9"/>
  <c r="G131" i="4"/>
  <c r="G106" i="4"/>
  <c r="K10" i="5" s="1"/>
  <c r="K8" i="5"/>
  <c r="G124" i="4" l="1"/>
  <c r="G126" i="4" s="1"/>
  <c r="H24" i="9"/>
  <c r="H28" i="4"/>
  <c r="H41" i="4" s="1"/>
  <c r="H43" i="4" s="1"/>
  <c r="H58" i="4" s="1"/>
  <c r="G151" i="4"/>
  <c r="G136" i="4"/>
  <c r="G138" i="4" s="1"/>
  <c r="K14" i="5" s="1"/>
  <c r="K22" i="9"/>
  <c r="K24" i="9" s="1"/>
  <c r="K13" i="5"/>
  <c r="H99" i="4" l="1"/>
  <c r="L4" i="5" s="1"/>
  <c r="K17" i="5"/>
  <c r="G130" i="4"/>
  <c r="G153" i="4"/>
  <c r="G157" i="4"/>
  <c r="G159" i="4" s="1"/>
  <c r="H30" i="9"/>
  <c r="K28" i="9"/>
  <c r="K30" i="9" s="1"/>
  <c r="H101" i="4" l="1"/>
  <c r="H104" i="4" s="1"/>
  <c r="G132" i="4"/>
  <c r="K18" i="5" s="1"/>
  <c r="G142" i="4"/>
  <c r="G144" i="4" s="1"/>
  <c r="K15" i="5" s="1"/>
  <c r="H110" i="4" l="1"/>
  <c r="H108" i="4"/>
  <c r="H124" i="4" s="1"/>
  <c r="H126" i="4" s="1"/>
  <c r="L6" i="5"/>
  <c r="I28" i="9"/>
  <c r="I22" i="9"/>
  <c r="I24" i="9" s="1"/>
  <c r="L8" i="5"/>
  <c r="H20" i="5" s="1"/>
  <c r="H106" i="4"/>
  <c r="L10" i="5" s="1"/>
  <c r="H131" i="4"/>
  <c r="I30" i="9" l="1"/>
  <c r="L13" i="5"/>
  <c r="H151" i="4"/>
  <c r="H136" i="4"/>
  <c r="H138" i="4" s="1"/>
  <c r="L14" i="5" s="1"/>
  <c r="H153" i="4" l="1"/>
  <c r="H157" i="4"/>
  <c r="H159" i="4" s="1"/>
  <c r="L17" i="5"/>
  <c r="H130" i="4"/>
  <c r="H132" i="4" l="1"/>
  <c r="L18" i="5" s="1"/>
  <c r="H142" i="4"/>
  <c r="H144" i="4" s="1"/>
  <c r="L15" i="5" s="1"/>
</calcChain>
</file>

<file path=xl/sharedStrings.xml><?xml version="1.0" encoding="utf-8"?>
<sst xmlns="http://schemas.openxmlformats.org/spreadsheetml/2006/main" count="558" uniqueCount="343">
  <si>
    <t>Autorités et personnel</t>
  </si>
  <si>
    <t>Biens, services, marchandises</t>
  </si>
  <si>
    <t>Intérêts passifs</t>
  </si>
  <si>
    <t>Amortissements</t>
  </si>
  <si>
    <t>Remboursements, participations et subv.</t>
  </si>
  <si>
    <t>Aides et subventions</t>
  </si>
  <si>
    <t>Attributions aux fonds et aux financements spéciaux</t>
  </si>
  <si>
    <t>Imputations internes</t>
  </si>
  <si>
    <t>Impôts</t>
  </si>
  <si>
    <t>Patentes, concessions</t>
  </si>
  <si>
    <t>Revenus du patrimoine</t>
  </si>
  <si>
    <t>Taxes, émoluments, produits des ventes</t>
  </si>
  <si>
    <t>Parts à des recettes cantonales</t>
  </si>
  <si>
    <t>Participations et remboursements de collectivités</t>
  </si>
  <si>
    <t>Prélèvements sur les fonds et financements spéciaux</t>
  </si>
  <si>
    <t>Gains comptables</t>
  </si>
  <si>
    <t>Amortissements du patrimoine financier</t>
  </si>
  <si>
    <t>Amortissements obligatoires du patrimoine administratif</t>
  </si>
  <si>
    <t>Amortissement du découvert</t>
  </si>
  <si>
    <t>Attributions aux financements spéciaux</t>
  </si>
  <si>
    <t>Prélèvements sur les financements spéciaux</t>
  </si>
  <si>
    <t>TOTAL CHARGES</t>
  </si>
  <si>
    <t>TOTAL REVENUS</t>
  </si>
  <si>
    <t>Résultat comptable</t>
  </si>
  <si>
    <t>Contrôle résultats</t>
  </si>
  <si>
    <t>Clôture du compte de fonctionnement (négatif si perte)</t>
  </si>
  <si>
    <t>Analyse financière</t>
  </si>
  <si>
    <t>Op.</t>
  </si>
  <si>
    <t>Désignation</t>
  </si>
  <si>
    <t>+</t>
  </si>
  <si>
    <t>-</t>
  </si>
  <si>
    <t>=</t>
  </si>
  <si>
    <t>SOLDE DE FONCTIONNEMENT</t>
  </si>
  <si>
    <t>Imputations internes (revenus)</t>
  </si>
  <si>
    <t>Amortissements supplémentaires</t>
  </si>
  <si>
    <t>Imputations internes (charges)</t>
  </si>
  <si>
    <t>60 à 67</t>
  </si>
  <si>
    <t>50 à 58</t>
  </si>
  <si>
    <t>MARGE D'AUTOFINANCEMENT</t>
  </si>
  <si>
    <t>Amortissements du patrimoine administratif</t>
  </si>
  <si>
    <t>Recettes d'investissement</t>
  </si>
  <si>
    <t>Dépenses d'investissement</t>
  </si>
  <si>
    <t>Contrôle imputations internes</t>
  </si>
  <si>
    <t>Investissements</t>
  </si>
  <si>
    <t>Prêts et participations permanentes</t>
  </si>
  <si>
    <t>Autres investissements</t>
  </si>
  <si>
    <t>Remboursements de prêts et de participations</t>
  </si>
  <si>
    <t>Subventions</t>
  </si>
  <si>
    <t>Participations de tiers</t>
  </si>
  <si>
    <t>Transferts au patrimoine financier</t>
  </si>
  <si>
    <t>TOTAL DEPENSES</t>
  </si>
  <si>
    <t>TOTAL RECETTES</t>
  </si>
  <si>
    <t>59/69</t>
  </si>
  <si>
    <t>Contrôle dim/augm. investissements</t>
  </si>
  <si>
    <t>Diminution/augmentation invest. (si diminution, négatif)</t>
  </si>
  <si>
    <t>Engagements envers des entités</t>
  </si>
  <si>
    <t>TOTAL DETTE BRUTE</t>
  </si>
  <si>
    <t>Epargne (titres et placements)</t>
  </si>
  <si>
    <t>Prêts</t>
  </si>
  <si>
    <t>TOTAL CAPITAUX</t>
  </si>
  <si>
    <t>Poids de la dette</t>
  </si>
  <si>
    <t>Concepts de résultats</t>
  </si>
  <si>
    <t>Poids de la dette : nombre d'années nécessaires pour rembourser la dette avec les recettes courantes (quotité nette)</t>
  </si>
  <si>
    <t>Dette nette</t>
  </si>
  <si>
    <t>Max. 2.5 ans</t>
  </si>
  <si>
    <t>En nombre d'années</t>
  </si>
  <si>
    <t>Renouvellement de la dette</t>
  </si>
  <si>
    <t>Renouvellement de la dette : nombre d'années nécessaires pour rembourser la dette nette, dans le cas où toute la marge d'autofinancement y est affectée</t>
  </si>
  <si>
    <t>Max. 30 ans</t>
  </si>
  <si>
    <t>Intérêts des dettes à court terme</t>
  </si>
  <si>
    <t>Poids des intérêts passifs</t>
  </si>
  <si>
    <t>Poids des intérêts passifs : part des recettes courantes consacrée au financement des intérêts passifs</t>
  </si>
  <si>
    <t>En %</t>
  </si>
  <si>
    <t>Max. 5-10 %</t>
  </si>
  <si>
    <t>Min. égal au plafond d'endettement</t>
  </si>
  <si>
    <t>En CHF</t>
  </si>
  <si>
    <t>Tableau de bord</t>
  </si>
  <si>
    <t>Résultats</t>
  </si>
  <si>
    <t>Amortissements comptables obligatoires + réserves affectées</t>
  </si>
  <si>
    <t>Coefficient fiscal d'équilibre</t>
  </si>
  <si>
    <t>Ecart à la capacité d'endettement</t>
  </si>
  <si>
    <t>Marge d'autofinancement minimum</t>
  </si>
  <si>
    <t>Moyenne</t>
  </si>
  <si>
    <t>Politique d'amortissement</t>
  </si>
  <si>
    <t>DEPENSES COURANTES</t>
  </si>
  <si>
    <t>RECETTES COURANTES</t>
  </si>
  <si>
    <t>Capacité économique d'endettement : montant maximum d'endettement supportable pour la commune</t>
  </si>
  <si>
    <t>Taux de couverture des réserves</t>
  </si>
  <si>
    <t>Gestion de la dette</t>
  </si>
  <si>
    <t>Degré d'autofinancement : pourcentage des dépenses nettes d'investissement couvertes par la marge d'autofinancement</t>
  </si>
  <si>
    <t>MA / DNI</t>
  </si>
  <si>
    <t>Marge d'autofinancement (MA)</t>
  </si>
  <si>
    <t>Dépenses nettes d'investissement (DNI)</t>
  </si>
  <si>
    <t>Dette brute (D)</t>
  </si>
  <si>
    <t>Amortissements comptables obligatoires (patrim. admin. + fin.) (AO)</t>
  </si>
  <si>
    <t>MA / 30</t>
  </si>
  <si>
    <t>Durée de remboursement maximum, 30 ans</t>
  </si>
  <si>
    <t>Intérêts passifs (IP)</t>
  </si>
  <si>
    <t>Recettes courantes (RC)</t>
  </si>
  <si>
    <t>IP / RC</t>
  </si>
  <si>
    <t>Dette nette (DN)</t>
  </si>
  <si>
    <t>Taux d'autofinancement : pourcentage des revenus courants disponibles pour l'autofinancement</t>
  </si>
  <si>
    <t>Fonds alimentés par des recettes affectées</t>
  </si>
  <si>
    <t>Fonds de renouvellement et de rénovation</t>
  </si>
  <si>
    <t>Fonds de réserve</t>
  </si>
  <si>
    <t>TOTAL FONDS</t>
  </si>
  <si>
    <t>Disponibilités</t>
  </si>
  <si>
    <t>Débiteurs et comptes courants</t>
  </si>
  <si>
    <t>Placements du patrimoine financier</t>
  </si>
  <si>
    <t>Engagements courants</t>
  </si>
  <si>
    <t>Passifs transitoires</t>
  </si>
  <si>
    <t>TOTAL ACTIFS DISPONIBLES NETS</t>
  </si>
  <si>
    <t>Actifs transitoires</t>
  </si>
  <si>
    <t>OK / Insuffisant</t>
  </si>
  <si>
    <t>Bilan</t>
  </si>
  <si>
    <t>Croissance</t>
  </si>
  <si>
    <t>SOLDE FINANCIER (SF)</t>
  </si>
  <si>
    <t>Impôts sur le revenu et la fortune</t>
  </si>
  <si>
    <t>Impôts sur le bénéfice et le capital PM</t>
  </si>
  <si>
    <t>Autres</t>
  </si>
  <si>
    <t>Coefficient fiscal d'équilibre : taux d'impôt nécessaire pour équilibrer le compte d'exploitation (solde de fonctionnement épuré = 0)</t>
  </si>
  <si>
    <t>PP + PM</t>
  </si>
  <si>
    <t>Taux d'impôt d'équilibre</t>
  </si>
  <si>
    <t>Ecart à la capacité économique d'endettement : montant maximun pour de nouveaux emprunts</t>
  </si>
  <si>
    <t>Capacité économique d'endettement (CEE)</t>
  </si>
  <si>
    <t>CEE - DN</t>
  </si>
  <si>
    <t>&gt; 0</t>
  </si>
  <si>
    <t>Marge d'autofinancement minimum : marge d'autofinancement minimum tenant compte de la dette nette</t>
  </si>
  <si>
    <t>CHARGES PAR NATURE</t>
  </si>
  <si>
    <t>REVENUS PAR NATURE</t>
  </si>
  <si>
    <t>DEPENSES D'INVESTISSEMENT</t>
  </si>
  <si>
    <t>RECETTES D'INVESTISSEMENT</t>
  </si>
  <si>
    <t>DETTE BRUTE</t>
  </si>
  <si>
    <t>CAPITAUX (mobilisables à court terme)</t>
  </si>
  <si>
    <t>ACTIFS DISPONIBLES NETS</t>
  </si>
  <si>
    <t>FIN. SPECIAUX ET FONDS DE RESERVES</t>
  </si>
  <si>
    <t>TAUX D'IMPÔT</t>
  </si>
  <si>
    <t>DN / RC</t>
  </si>
  <si>
    <t>DN /MA</t>
  </si>
  <si>
    <t>DN / 30</t>
  </si>
  <si>
    <t>Actifs disponibles nets (ADN)</t>
  </si>
  <si>
    <t>ADN / RCO</t>
  </si>
  <si>
    <t>Réserves comptables (RCO)</t>
  </si>
  <si>
    <t>MA / RC</t>
  </si>
  <si>
    <t>Valeur du point d'impôt PP+PM (VPI)</t>
  </si>
  <si>
    <t>Taux d'impôt effectif (TX)</t>
  </si>
  <si>
    <t>Solde de fonctionnement épuré en pts d'impôt (SFE)</t>
  </si>
  <si>
    <t xml:space="preserve">TX - (SFE / VPI) </t>
  </si>
  <si>
    <t>&gt;80%</t>
  </si>
  <si>
    <t>Bon &gt; 20% 
Moyen 10% - 20%</t>
  </si>
  <si>
    <t>Références et indicateurs</t>
  </si>
  <si>
    <t>SOLDE DE FONCTIONNEMENT EPURE (SFE)</t>
  </si>
  <si>
    <t>CORRECTIF AMORTISSEMENTS PATRIMOINE FIN.</t>
  </si>
  <si>
    <t>Amortissements des titres et placements</t>
  </si>
  <si>
    <t>Balance actif du bilan (total de l'actif)</t>
  </si>
  <si>
    <t>Fonds de roulement</t>
  </si>
  <si>
    <t xml:space="preserve">Commune : </t>
  </si>
  <si>
    <t>MARGE D'AUTOFINANCEMENT (MA)</t>
  </si>
  <si>
    <t>Prélèvements sur les réserves (sans domaines autofin. 481)</t>
  </si>
  <si>
    <t>Attributions aux réserves (sans domaines autofin. 381)</t>
  </si>
  <si>
    <t>Prélèvements sur les réserves affectées (domaines autofin.)</t>
  </si>
  <si>
    <t>Attributions aux réserves affectées (domaines autofin.)</t>
  </si>
  <si>
    <t>Amortissements comptables</t>
  </si>
  <si>
    <t>Simulation investissements I</t>
  </si>
  <si>
    <t>Tx croissance</t>
  </si>
  <si>
    <t>Mouvements réserves domaines affectés antérieurs</t>
  </si>
  <si>
    <t>Nouveaux amortissements comptables</t>
  </si>
  <si>
    <t>MARGES D'AUTOFINANCEMENT (MA)</t>
  </si>
  <si>
    <t>DETTE NETTE PREVISIONNELLE</t>
  </si>
  <si>
    <t>Tableau de bord de l'évaluation prospective</t>
  </si>
  <si>
    <t>Evaluation prospective</t>
  </si>
  <si>
    <t>Durée de vie</t>
  </si>
  <si>
    <t>Simulation investissements II</t>
  </si>
  <si>
    <t>Simulation investissements III</t>
  </si>
  <si>
    <t>Renouvellement de la dette : nombre d'années nécessaires pour rembourser la dette nette</t>
  </si>
  <si>
    <t>CAPACITE ECONOMIQUE D'ENDETTEMENT MOYENNE</t>
  </si>
  <si>
    <t>Données - Résumés des comptes</t>
  </si>
  <si>
    <t>Nouvelle valeur</t>
  </si>
  <si>
    <t>Taux d'intérêts moyen</t>
  </si>
  <si>
    <t>Taux d'intérêt</t>
  </si>
  <si>
    <t>Intérêts passifs prévisionnels</t>
  </si>
  <si>
    <t>INTERETS PASSIFS PREVISIONNELS</t>
  </si>
  <si>
    <t>OUI</t>
  </si>
  <si>
    <t>Comptabilisé</t>
  </si>
  <si>
    <t>NON</t>
  </si>
  <si>
    <t>D / 30</t>
  </si>
  <si>
    <t>Poids de la dette : nombre d'années nécessaires pour rembourser la dette nette avec les recettes courantes</t>
  </si>
  <si>
    <t>** y compris mouvements réserves des domaines autofinancés</t>
  </si>
  <si>
    <t>30 Autorités et personnel</t>
  </si>
  <si>
    <t>Total Autorités et personnel</t>
  </si>
  <si>
    <t>31 Biens, services, marchandises</t>
  </si>
  <si>
    <t>32 Intérêts passifs prévisionnels</t>
  </si>
  <si>
    <t>Total Intérêts passifs prévisionnels</t>
  </si>
  <si>
    <t>Montant supplémentaire (+) ou en diminution (-)</t>
  </si>
  <si>
    <t>Total Amortissements comptables</t>
  </si>
  <si>
    <t>35 Remboursements, participations et subv.</t>
  </si>
  <si>
    <t>36 Aides et subventions</t>
  </si>
  <si>
    <t>Total Aides et subventions</t>
  </si>
  <si>
    <t>Total Remboursements, participations et subv.</t>
  </si>
  <si>
    <t>Total Impôts</t>
  </si>
  <si>
    <t>40 Impôts</t>
  </si>
  <si>
    <t>381 Attributions aux financements spéciaux</t>
  </si>
  <si>
    <t>Total Attributions aux financements spéciaux</t>
  </si>
  <si>
    <t>41 Patentes, concessions</t>
  </si>
  <si>
    <t>Total Patentes, concessions</t>
  </si>
  <si>
    <t>Total Revenus du patrimoine</t>
  </si>
  <si>
    <t>43 Taxes, émoluments, produits des ventes</t>
  </si>
  <si>
    <t>Total Taxes, émoluments, produits des ventes</t>
  </si>
  <si>
    <t>44 Parts à des recettes cantonales</t>
  </si>
  <si>
    <t>Total Parts à des recettes cantonales</t>
  </si>
  <si>
    <t>45 Participations et remboursements de collectivités</t>
  </si>
  <si>
    <t>Total Participations et remboursements de collectivités</t>
  </si>
  <si>
    <t>481 Prélèvements sur les financements spéciaux</t>
  </si>
  <si>
    <t>Amortissements comptables + réserves affectées</t>
  </si>
  <si>
    <t xml:space="preserve">* y compris les amortissements comptables obligatoires, réserves affectées et mouvements réserves des domaines autofinancés. </t>
  </si>
  <si>
    <t>Intérêts des dettes à moyen et long terme</t>
  </si>
  <si>
    <t xml:space="preserve">Autres amortissements du patrimoine administratif </t>
  </si>
  <si>
    <t>Autres prestations et subventions</t>
  </si>
  <si>
    <t>Subventions d'investissement</t>
  </si>
  <si>
    <t>Reprise des amortissements et réserves</t>
  </si>
  <si>
    <t>Terrains et bâtiments du patrimoine financier</t>
  </si>
  <si>
    <t>Dettes à court terme</t>
  </si>
  <si>
    <t>Dettes à moyen et long terme</t>
  </si>
  <si>
    <t>Amortissements d'autres biens du patrimoine financier</t>
  </si>
  <si>
    <t>46 Autres prestations et subventions</t>
  </si>
  <si>
    <t>Total Autres prestations et subventions</t>
  </si>
  <si>
    <t>TOTAL CORRECTIONS AMMORTISSEMENTS PATRIMOINE FIN.</t>
  </si>
  <si>
    <t>CONTRÔLE DE LA COUVERTURE DES DOMAINES AUTOFINANCÉS</t>
  </si>
  <si>
    <t>ORDURES MENAGERES ET DECHETS</t>
  </si>
  <si>
    <t>Somme</t>
  </si>
  <si>
    <t>Charges (selon class. Admin.)</t>
  </si>
  <si>
    <t>Revenus (selon class. Admin.)</t>
  </si>
  <si>
    <t>RESEAUX D'EGOUTS ET D'EPURATION</t>
  </si>
  <si>
    <t>Revenus des prêts et participations du PA</t>
  </si>
  <si>
    <t>Revenus des immeubles du PA</t>
  </si>
  <si>
    <t>Émoluments</t>
  </si>
  <si>
    <t>Montants nets et années des investissements</t>
  </si>
  <si>
    <t>Taux 0.00%</t>
  </si>
  <si>
    <t>Autre taux à choix</t>
  </si>
  <si>
    <t>DETTE BRUTE PREVISIONNELLE</t>
  </si>
  <si>
    <t>Indicateurs de l'État de Vaud</t>
  </si>
  <si>
    <t>Exercices antérieurs</t>
  </si>
  <si>
    <t>DB / RC</t>
  </si>
  <si>
    <t xml:space="preserve">Max. 250% </t>
  </si>
  <si>
    <t>DN /RF</t>
  </si>
  <si>
    <t>Quotité de dette brute</t>
  </si>
  <si>
    <t>Quotité de dette nette</t>
  </si>
  <si>
    <t>Revenus fiscaux non affectés (RF)</t>
  </si>
  <si>
    <t>330 &amp; 331 Amortissements comptables antérieurs</t>
  </si>
  <si>
    <t>42 Revenus du patrimoine (sauf plus-values comptables)</t>
  </si>
  <si>
    <t>Montants nets des investissements</t>
  </si>
  <si>
    <t>Amortissements des créances et débiteurs (défalcations sur impôts)</t>
  </si>
  <si>
    <t>Total Biens, services et marchandises</t>
  </si>
  <si>
    <t>Gains comptables en raison de réévaluation du PF</t>
  </si>
  <si>
    <t>TOTAL CORRECTIONS DE VALEURS</t>
  </si>
  <si>
    <t>Corrections de valeurs</t>
  </si>
  <si>
    <t>CORRECTIF DE RÉÉVALUATION FIGURANT SOUS 424</t>
  </si>
  <si>
    <t>SERVICE DES EAUX</t>
  </si>
  <si>
    <t>Financé par l'emprunt</t>
  </si>
  <si>
    <t>en :</t>
  </si>
  <si>
    <t>de :</t>
  </si>
  <si>
    <t>Croissance VPI</t>
  </si>
  <si>
    <t xml:space="preserve">Dette nette selon Canton </t>
  </si>
  <si>
    <t>Dette brute selon Canton</t>
  </si>
  <si>
    <t>DETTE BRUTE SELON CANTON</t>
  </si>
  <si>
    <t>Engagement courants</t>
  </si>
  <si>
    <t>DETTE NETTE SELON CANTON</t>
  </si>
  <si>
    <t>TOTAL DETTE BRUTE SELON CANTON</t>
  </si>
  <si>
    <t>TOTAL DETTE NETTE SELON CANTON</t>
  </si>
  <si>
    <t>Cl. Nature</t>
  </si>
  <si>
    <t>Total des revenus de fonctionnement</t>
  </si>
  <si>
    <t>Total des charges de fonctionnement</t>
  </si>
  <si>
    <t>Comptes courants créanciers</t>
  </si>
  <si>
    <t>Comptes courants auprès d'autres collectivités publiques</t>
  </si>
  <si>
    <t xml:space="preserve">Prêts et capitaux de dotations </t>
  </si>
  <si>
    <t>Taux de couverture des domaines autofinancés</t>
  </si>
  <si>
    <t>100%</t>
  </si>
  <si>
    <t>TOURISME</t>
  </si>
  <si>
    <t xml:space="preserve">TOTAL CHARGES DE FONCTIONNEMENT </t>
  </si>
  <si>
    <t>Variation de revenus fiscaux si modification du taux (en point)</t>
  </si>
  <si>
    <t>* Sauf 380 et 39 mais y compris les amortissements comptables obligatoires, réserves affectées et mouvements sur réserves des domaines autofinancés</t>
  </si>
  <si>
    <t>** Sauf 480 et 49 mais y compris mouvements sur réserves des domaines autofinancés</t>
  </si>
  <si>
    <t>Charges de fonctionnement épurées</t>
  </si>
  <si>
    <t>Revenus de fonctionnement épurés</t>
  </si>
  <si>
    <t>Remarques: épuration des charges et des revenus</t>
  </si>
  <si>
    <t>Les positions suivantes sont comprises dans les charges de fonctionnement épurées : 30 ; 31 ; 32 (prévisionnels) ; 330 &amp; 331 ; 35 ; 36 ; 381</t>
  </si>
  <si>
    <t>Les posititions suivantes sont comprises dans les revenus d'exploitation épurés : 40 ; 41 ; 42 (sans 424) ; 43 ; 44 ; 45 ; 46 ; 481</t>
  </si>
  <si>
    <t>Charges de fonctionnement des investissements</t>
  </si>
  <si>
    <t>Revenus de fonctionnement des investissements</t>
  </si>
  <si>
    <t>Charges de fonctionnement</t>
  </si>
  <si>
    <t>Charges de fonctionnement épurées (sauf 380 &amp; 49)</t>
  </si>
  <si>
    <t>Charges nettes des nouveaux investissements</t>
  </si>
  <si>
    <t>Revenus de fonctionnement épurés (sauf 480 &amp; 49)</t>
  </si>
  <si>
    <t>Revenus nets des nouveaux investissements</t>
  </si>
  <si>
    <t>TOTAL DES CHARGES DE FONCTIONNEMENT EPUREES *</t>
  </si>
  <si>
    <t>TOTAL DES REVENUS DE FONCTIONNEMENT EPURES **</t>
  </si>
  <si>
    <t xml:space="preserve">Charges de fonctionnement épurées </t>
  </si>
  <si>
    <t xml:space="preserve">Revenus de fonctionnement épurés </t>
  </si>
  <si>
    <r>
      <rPr>
        <i/>
        <sz val="9"/>
        <color theme="1" tint="0.499984740745262"/>
        <rFont val="Arial Narrow"/>
        <family val="2"/>
      </rPr>
      <t>(Couleurs JMC)</t>
    </r>
    <r>
      <rPr>
        <sz val="9"/>
        <color theme="1"/>
        <rFont val="Arial Narrow"/>
        <family val="2"/>
      </rPr>
      <t xml:space="preserve">  En %</t>
    </r>
  </si>
  <si>
    <t>Couverture des réserves</t>
  </si>
  <si>
    <t>Degré d'autofinancement</t>
  </si>
  <si>
    <t>Taux d'autofinancement</t>
  </si>
  <si>
    <t>CEE</t>
  </si>
  <si>
    <t>Plafond voté</t>
  </si>
  <si>
    <t>Quotité de la dette brute</t>
  </si>
  <si>
    <t>Valeur</t>
  </si>
  <si>
    <t>Seuil</t>
  </si>
  <si>
    <t>Très bon</t>
  </si>
  <si>
    <t>Bon</t>
  </si>
  <si>
    <t>Moyen</t>
  </si>
  <si>
    <t>Mauvais</t>
  </si>
  <si>
    <t>Critique</t>
  </si>
  <si>
    <t>Inquiétant</t>
  </si>
  <si>
    <t>Dette brute</t>
  </si>
  <si>
    <t>Ratio</t>
  </si>
  <si>
    <t>Tri</t>
  </si>
  <si>
    <t>Delta</t>
  </si>
  <si>
    <t>Légende</t>
  </si>
  <si>
    <t>Saisie</t>
  </si>
  <si>
    <t>Domaines autofinancés</t>
  </si>
  <si>
    <t>%tage</t>
  </si>
  <si>
    <t>1/3</t>
  </si>
  <si>
    <t>2/3</t>
  </si>
  <si>
    <t>3/3</t>
  </si>
  <si>
    <t>Results</t>
  </si>
  <si>
    <t>1/100</t>
  </si>
  <si>
    <t>Min.</t>
  </si>
  <si>
    <t>Max.</t>
  </si>
  <si>
    <t>Borne 1</t>
  </si>
  <si>
    <t>Borne 2</t>
  </si>
  <si>
    <t>Graphiques</t>
  </si>
  <si>
    <t>Quotité 250%</t>
  </si>
  <si>
    <t>Taux</t>
  </si>
  <si>
    <t>Borne inf.</t>
  </si>
  <si>
    <t>Cent%</t>
  </si>
  <si>
    <t>Max</t>
  </si>
  <si>
    <t>AO</t>
  </si>
  <si>
    <t>DB/30</t>
  </si>
  <si>
    <t>Bon &gt; 80%
Moyen 50% - 80%</t>
  </si>
  <si>
    <t>Tx moyen 2017-2021</t>
  </si>
  <si>
    <t>Plafond d'endettement :</t>
  </si>
  <si>
    <t>Tableaux de données pour la présentation graphique de divers indicateurs</t>
  </si>
  <si>
    <t xml:space="preserve">Projection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</si>
</sst>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_ ;[Red]\-#,##0.0\ "/>
    <numFmt numFmtId="166" formatCode="0.0%"/>
    <numFmt numFmtId="167" formatCode="0.0"/>
  </numFmts>
  <fonts count="16" x14ac:knownFonts="1">
    <font>
      <sz val="9"/>
      <color theme="1"/>
      <name val="Arial Narrow"/>
      <family val="2"/>
    </font>
    <font>
      <sz val="9"/>
      <color theme="0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8"/>
      <color rgb="FF000000"/>
      <name val="Segoe UI"/>
      <family val="2"/>
    </font>
    <font>
      <sz val="8"/>
      <name val="Arial Narrow"/>
      <family val="2"/>
    </font>
    <font>
      <u/>
      <sz val="9"/>
      <color theme="1"/>
      <name val="Arial Narrow"/>
      <family val="2"/>
    </font>
    <font>
      <i/>
      <sz val="9"/>
      <color theme="1" tint="0.499984740745262"/>
      <name val="Arial Narrow"/>
      <family val="2"/>
    </font>
    <font>
      <sz val="10"/>
      <name val="Arial Narrow"/>
      <family val="2"/>
    </font>
    <font>
      <sz val="10"/>
      <color theme="1" tint="0.24994659260841701"/>
      <name val="Arial Narrow"/>
      <family val="2"/>
    </font>
    <font>
      <b/>
      <sz val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8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1" fillId="4" borderId="1" xfId="0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5" borderId="1" xfId="0" applyFill="1" applyBorder="1"/>
    <xf numFmtId="164" fontId="0" fillId="5" borderId="1" xfId="0" applyNumberForma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right"/>
    </xf>
    <xf numFmtId="165" fontId="0" fillId="5" borderId="1" xfId="0" applyNumberFormat="1" applyFill="1" applyBorder="1"/>
    <xf numFmtId="166" fontId="0" fillId="5" borderId="1" xfId="1" applyNumberFormat="1" applyFont="1" applyFill="1" applyBorder="1"/>
    <xf numFmtId="164" fontId="0" fillId="5" borderId="1" xfId="1" applyNumberFormat="1" applyFont="1" applyFill="1" applyBorder="1"/>
    <xf numFmtId="164" fontId="0" fillId="5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3" xfId="0" applyBorder="1"/>
    <xf numFmtId="164" fontId="0" fillId="0" borderId="6" xfId="0" applyNumberFormat="1" applyBorder="1"/>
    <xf numFmtId="0" fontId="1" fillId="4" borderId="8" xfId="0" applyFont="1" applyFill="1" applyBorder="1" applyAlignment="1">
      <alignment horizontal="center"/>
    </xf>
    <xf numFmtId="164" fontId="0" fillId="0" borderId="8" xfId="0" applyNumberFormat="1" applyBorder="1"/>
    <xf numFmtId="165" fontId="0" fillId="5" borderId="8" xfId="0" applyNumberFormat="1" applyFill="1" applyBorder="1"/>
    <xf numFmtId="164" fontId="0" fillId="5" borderId="8" xfId="0" applyNumberFormat="1" applyFill="1" applyBorder="1"/>
    <xf numFmtId="166" fontId="0" fillId="5" borderId="8" xfId="1" applyNumberFormat="1" applyFont="1" applyFill="1" applyBorder="1"/>
    <xf numFmtId="0" fontId="0" fillId="0" borderId="5" xfId="0" applyBorder="1"/>
    <xf numFmtId="0" fontId="5" fillId="0" borderId="5" xfId="0" applyFont="1" applyBorder="1"/>
    <xf numFmtId="164" fontId="0" fillId="5" borderId="8" xfId="1" applyNumberFormat="1" applyFont="1" applyFill="1" applyBorder="1"/>
    <xf numFmtId="164" fontId="0" fillId="5" borderId="8" xfId="1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2" xfId="0" applyFont="1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6" xfId="0" applyBorder="1"/>
    <xf numFmtId="0" fontId="0" fillId="0" borderId="0" xfId="0" applyAlignment="1">
      <alignment vertical="center"/>
    </xf>
    <xf numFmtId="165" fontId="0" fillId="0" borderId="1" xfId="0" applyNumberFormat="1" applyBorder="1"/>
    <xf numFmtId="0" fontId="5" fillId="6" borderId="2" xfId="0" applyFont="1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164" fontId="0" fillId="6" borderId="3" xfId="0" applyNumberFormat="1" applyFill="1" applyBorder="1"/>
    <xf numFmtId="164" fontId="0" fillId="6" borderId="4" xfId="0" applyNumberFormat="1" applyFill="1" applyBorder="1"/>
    <xf numFmtId="0" fontId="5" fillId="6" borderId="2" xfId="0" applyFont="1" applyFill="1" applyBorder="1"/>
    <xf numFmtId="0" fontId="0" fillId="6" borderId="4" xfId="0" applyFill="1" applyBorder="1"/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164" fontId="7" fillId="0" borderId="1" xfId="0" applyNumberFormat="1" applyFont="1" applyBorder="1"/>
    <xf numFmtId="164" fontId="7" fillId="0" borderId="0" xfId="0" applyNumberFormat="1" applyFont="1"/>
    <xf numFmtId="0" fontId="7" fillId="0" borderId="0" xfId="0" applyFont="1"/>
    <xf numFmtId="165" fontId="7" fillId="0" borderId="1" xfId="0" applyNumberFormat="1" applyFont="1" applyBorder="1"/>
    <xf numFmtId="166" fontId="7" fillId="0" borderId="1" xfId="1" applyNumberFormat="1" applyFont="1" applyBorder="1"/>
    <xf numFmtId="0" fontId="0" fillId="0" borderId="0" xfId="0" applyAlignment="1">
      <alignment textRotation="90"/>
    </xf>
    <xf numFmtId="0" fontId="8" fillId="0" borderId="0" xfId="0" applyFont="1"/>
    <xf numFmtId="164" fontId="0" fillId="5" borderId="1" xfId="0" applyNumberFormat="1" applyFill="1" applyBorder="1" applyAlignment="1">
      <alignment horizontal="right"/>
    </xf>
    <xf numFmtId="164" fontId="0" fillId="5" borderId="8" xfId="0" applyNumberFormat="1" applyFill="1" applyBorder="1" applyAlignment="1">
      <alignment horizontal="right"/>
    </xf>
    <xf numFmtId="164" fontId="7" fillId="0" borderId="0" xfId="0" applyNumberFormat="1" applyFont="1" applyAlignment="1">
      <alignment vertical="top" wrapText="1"/>
    </xf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vertical="center"/>
    </xf>
    <xf numFmtId="164" fontId="0" fillId="9" borderId="1" xfId="0" applyNumberForma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0" fillId="8" borderId="3" xfId="0" applyFill="1" applyBorder="1"/>
    <xf numFmtId="164" fontId="0" fillId="0" borderId="10" xfId="0" applyNumberFormat="1" applyBorder="1"/>
    <xf numFmtId="0" fontId="0" fillId="8" borderId="4" xfId="0" applyFill="1" applyBorder="1"/>
    <xf numFmtId="0" fontId="1" fillId="7" borderId="1" xfId="0" applyFont="1" applyFill="1" applyBorder="1" applyAlignment="1">
      <alignment horizontal="center"/>
    </xf>
    <xf numFmtId="164" fontId="0" fillId="9" borderId="1" xfId="0" applyNumberFormat="1" applyFill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4" fontId="0" fillId="8" borderId="3" xfId="0" applyNumberFormat="1" applyFill="1" applyBorder="1"/>
    <xf numFmtId="164" fontId="0" fillId="8" borderId="4" xfId="0" applyNumberFormat="1" applyFill="1" applyBorder="1"/>
    <xf numFmtId="0" fontId="1" fillId="7" borderId="8" xfId="0" applyFont="1" applyFill="1" applyBorder="1" applyAlignment="1">
      <alignment horizontal="center"/>
    </xf>
    <xf numFmtId="164" fontId="0" fillId="9" borderId="1" xfId="1" applyNumberFormat="1" applyFont="1" applyFill="1" applyBorder="1"/>
    <xf numFmtId="164" fontId="0" fillId="9" borderId="8" xfId="1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9" fontId="0" fillId="3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/>
    </xf>
    <xf numFmtId="0" fontId="1" fillId="0" borderId="0" xfId="0" applyFont="1"/>
    <xf numFmtId="0" fontId="0" fillId="3" borderId="21" xfId="0" applyFill="1" applyBorder="1" applyAlignment="1" applyProtection="1">
      <alignment horizontal="center"/>
      <protection locked="0"/>
    </xf>
    <xf numFmtId="10" fontId="0" fillId="3" borderId="8" xfId="1" applyNumberFormat="1" applyFont="1" applyFill="1" applyBorder="1" applyAlignment="1" applyProtection="1">
      <alignment horizontal="center"/>
      <protection locked="0"/>
    </xf>
    <xf numFmtId="10" fontId="0" fillId="3" borderId="12" xfId="1" applyNumberFormat="1" applyFont="1" applyFill="1" applyBorder="1" applyAlignment="1" applyProtection="1">
      <alignment horizontal="center"/>
      <protection locked="0"/>
    </xf>
    <xf numFmtId="164" fontId="5" fillId="9" borderId="1" xfId="0" applyNumberFormat="1" applyFont="1" applyFill="1" applyBorder="1"/>
    <xf numFmtId="10" fontId="0" fillId="5" borderId="1" xfId="1" applyNumberFormat="1" applyFont="1" applyFill="1" applyBorder="1"/>
    <xf numFmtId="0" fontId="0" fillId="5" borderId="15" xfId="0" applyFill="1" applyBorder="1"/>
    <xf numFmtId="0" fontId="2" fillId="0" borderId="22" xfId="0" applyFont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/>
    </xf>
    <xf numFmtId="167" fontId="0" fillId="0" borderId="1" xfId="0" applyNumberFormat="1" applyBorder="1" applyProtection="1">
      <protection locked="0"/>
    </xf>
    <xf numFmtId="0" fontId="5" fillId="0" borderId="0" xfId="0" applyFont="1"/>
    <xf numFmtId="164" fontId="5" fillId="3" borderId="1" xfId="0" applyNumberFormat="1" applyFont="1" applyFill="1" applyBorder="1" applyAlignment="1" applyProtection="1">
      <alignment horizontal="center"/>
      <protection locked="0"/>
    </xf>
    <xf numFmtId="167" fontId="0" fillId="3" borderId="1" xfId="0" applyNumberFormat="1" applyFill="1" applyBorder="1" applyProtection="1">
      <protection locked="0"/>
    </xf>
    <xf numFmtId="0" fontId="0" fillId="6" borderId="19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10" fontId="7" fillId="0" borderId="1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164" fontId="0" fillId="0" borderId="13" xfId="0" applyNumberFormat="1" applyBorder="1"/>
    <xf numFmtId="164" fontId="0" fillId="5" borderId="13" xfId="0" applyNumberFormat="1" applyFill="1" applyBorder="1"/>
    <xf numFmtId="164" fontId="0" fillId="0" borderId="36" xfId="0" applyNumberFormat="1" applyBorder="1"/>
    <xf numFmtId="0" fontId="1" fillId="4" borderId="13" xfId="0" applyFont="1" applyFill="1" applyBorder="1" applyAlignment="1">
      <alignment horizontal="center"/>
    </xf>
    <xf numFmtId="164" fontId="0" fillId="0" borderId="25" xfId="0" applyNumberFormat="1" applyBorder="1"/>
    <xf numFmtId="165" fontId="0" fillId="5" borderId="13" xfId="0" applyNumberFormat="1" applyFill="1" applyBorder="1"/>
    <xf numFmtId="0" fontId="1" fillId="4" borderId="36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3" borderId="40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64" fontId="0" fillId="9" borderId="8" xfId="0" applyNumberFormat="1" applyFill="1" applyBorder="1"/>
    <xf numFmtId="164" fontId="0" fillId="0" borderId="11" xfId="0" applyNumberFormat="1" applyBorder="1"/>
    <xf numFmtId="0" fontId="0" fillId="10" borderId="5" xfId="0" applyFill="1" applyBorder="1"/>
    <xf numFmtId="0" fontId="0" fillId="10" borderId="28" xfId="0" applyFill="1" applyBorder="1"/>
    <xf numFmtId="0" fontId="0" fillId="0" borderId="6" xfId="0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6" xfId="0" applyNumberFormat="1" applyBorder="1" applyAlignment="1">
      <alignment horizontal="left"/>
    </xf>
    <xf numFmtId="0" fontId="1" fillId="4" borderId="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164" fontId="0" fillId="0" borderId="14" xfId="0" applyNumberFormat="1" applyBorder="1"/>
    <xf numFmtId="164" fontId="0" fillId="5" borderId="14" xfId="0" applyNumberFormat="1" applyFill="1" applyBorder="1"/>
    <xf numFmtId="164" fontId="0" fillId="0" borderId="45" xfId="0" applyNumberFormat="1" applyBorder="1"/>
    <xf numFmtId="165" fontId="0" fillId="5" borderId="1" xfId="1" applyNumberFormat="1" applyFont="1" applyFill="1" applyBorder="1"/>
    <xf numFmtId="0" fontId="0" fillId="0" borderId="9" xfId="0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10" fontId="0" fillId="0" borderId="0" xfId="1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10" fontId="0" fillId="0" borderId="11" xfId="1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/>
    <xf numFmtId="166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8" xfId="0" applyNumberFormat="1" applyBorder="1"/>
    <xf numFmtId="165" fontId="0" fillId="5" borderId="8" xfId="1" applyNumberFormat="1" applyFont="1" applyFill="1" applyBorder="1"/>
    <xf numFmtId="164" fontId="7" fillId="0" borderId="23" xfId="0" applyNumberFormat="1" applyFont="1" applyBorder="1"/>
    <xf numFmtId="164" fontId="7" fillId="6" borderId="22" xfId="0" applyNumberFormat="1" applyFont="1" applyFill="1" applyBorder="1"/>
    <xf numFmtId="164" fontId="7" fillId="6" borderId="23" xfId="0" applyNumberFormat="1" applyFont="1" applyFill="1" applyBorder="1"/>
    <xf numFmtId="10" fontId="7" fillId="6" borderId="39" xfId="0" applyNumberFormat="1" applyFont="1" applyFill="1" applyBorder="1" applyAlignment="1">
      <alignment horizontal="center"/>
    </xf>
    <xf numFmtId="0" fontId="7" fillId="6" borderId="22" xfId="0" applyFont="1" applyFill="1" applyBorder="1"/>
    <xf numFmtId="0" fontId="7" fillId="6" borderId="23" xfId="0" applyFont="1" applyFill="1" applyBorder="1"/>
    <xf numFmtId="164" fontId="7" fillId="6" borderId="23" xfId="0" applyNumberFormat="1" applyFont="1" applyFill="1" applyBorder="1" applyAlignment="1">
      <alignment horizontal="right"/>
    </xf>
    <xf numFmtId="0" fontId="0" fillId="0" borderId="46" xfId="0" applyBorder="1" applyAlignment="1">
      <alignment horizontal="center" vertical="center"/>
    </xf>
    <xf numFmtId="167" fontId="1" fillId="0" borderId="0" xfId="0" applyNumberFormat="1" applyFont="1"/>
    <xf numFmtId="10" fontId="0" fillId="0" borderId="12" xfId="1" applyNumberFormat="1" applyFont="1" applyFill="1" applyBorder="1" applyAlignment="1" applyProtection="1">
      <alignment horizontal="center"/>
    </xf>
    <xf numFmtId="10" fontId="0" fillId="0" borderId="35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0" fillId="6" borderId="2" xfId="0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32" xfId="0" applyBorder="1" applyAlignment="1">
      <alignment horizontal="left"/>
    </xf>
    <xf numFmtId="0" fontId="0" fillId="0" borderId="14" xfId="0" applyBorder="1"/>
    <xf numFmtId="0" fontId="6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164" fontId="7" fillId="0" borderId="0" xfId="0" applyNumberFormat="1" applyFont="1" applyAlignment="1">
      <alignment vertical="center"/>
    </xf>
    <xf numFmtId="10" fontId="3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10" fontId="7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16" xfId="0" applyNumberFormat="1" applyFont="1" applyBorder="1" applyAlignment="1">
      <alignment vertical="center"/>
    </xf>
    <xf numFmtId="10" fontId="3" fillId="0" borderId="33" xfId="0" applyNumberFormat="1" applyFont="1" applyBorder="1" applyAlignment="1">
      <alignment horizontal="center" vertical="center"/>
    </xf>
    <xf numFmtId="0" fontId="11" fillId="0" borderId="0" xfId="0" applyFont="1"/>
    <xf numFmtId="0" fontId="5" fillId="10" borderId="5" xfId="0" applyFont="1" applyFill="1" applyBorder="1" applyAlignment="1">
      <alignment horizontal="left"/>
    </xf>
    <xf numFmtId="0" fontId="5" fillId="10" borderId="0" xfId="0" applyFont="1" applyFill="1" applyAlignment="1">
      <alignment horizontal="left"/>
    </xf>
    <xf numFmtId="164" fontId="0" fillId="10" borderId="0" xfId="0" applyNumberFormat="1" applyFill="1"/>
    <xf numFmtId="0" fontId="0" fillId="10" borderId="0" xfId="0" applyFill="1"/>
    <xf numFmtId="0" fontId="0" fillId="10" borderId="6" xfId="0" applyFill="1" applyBorder="1"/>
    <xf numFmtId="165" fontId="0" fillId="3" borderId="38" xfId="0" applyNumberFormat="1" applyFill="1" applyBorder="1" applyAlignment="1" applyProtection="1">
      <alignment horizontal="center"/>
      <protection locked="0"/>
    </xf>
    <xf numFmtId="49" fontId="0" fillId="3" borderId="39" xfId="0" applyNumberFormat="1" applyFill="1" applyBorder="1" applyAlignment="1" applyProtection="1">
      <alignment horizontal="center"/>
      <protection locked="0"/>
    </xf>
    <xf numFmtId="164" fontId="0" fillId="0" borderId="32" xfId="0" applyNumberFormat="1" applyBorder="1"/>
    <xf numFmtId="0" fontId="0" fillId="0" borderId="32" xfId="0" applyBorder="1"/>
    <xf numFmtId="16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0" fillId="5" borderId="1" xfId="0" applyFill="1" applyBorder="1" applyAlignment="1">
      <alignment horizontal="right" vertical="center"/>
    </xf>
    <xf numFmtId="10" fontId="0" fillId="5" borderId="1" xfId="0" applyNumberFormat="1" applyFill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5" borderId="8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4" fontId="0" fillId="6" borderId="3" xfId="0" applyNumberFormat="1" applyFill="1" applyBorder="1" applyAlignment="1">
      <alignment vertical="center"/>
    </xf>
    <xf numFmtId="164" fontId="0" fillId="6" borderId="4" xfId="0" applyNumberFormat="1" applyFill="1" applyBorder="1" applyAlignment="1">
      <alignment vertical="center"/>
    </xf>
    <xf numFmtId="0" fontId="1" fillId="7" borderId="15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9" borderId="14" xfId="0" applyFill="1" applyBorder="1" applyAlignment="1">
      <alignment horizontal="right" vertical="center"/>
    </xf>
    <xf numFmtId="0" fontId="0" fillId="0" borderId="45" xfId="0" applyBorder="1"/>
    <xf numFmtId="0" fontId="0" fillId="0" borderId="48" xfId="0" applyBorder="1"/>
    <xf numFmtId="10" fontId="0" fillId="0" borderId="0" xfId="0" applyNumberFormat="1"/>
    <xf numFmtId="10" fontId="0" fillId="0" borderId="38" xfId="0" applyNumberFormat="1" applyBorder="1"/>
    <xf numFmtId="10" fontId="0" fillId="0" borderId="29" xfId="0" applyNumberFormat="1" applyBorder="1"/>
    <xf numFmtId="10" fontId="0" fillId="0" borderId="39" xfId="0" applyNumberFormat="1" applyBorder="1"/>
    <xf numFmtId="0" fontId="13" fillId="0" borderId="45" xfId="0" applyFont="1" applyBorder="1" applyAlignment="1">
      <alignment horizontal="center"/>
    </xf>
    <xf numFmtId="0" fontId="13" fillId="0" borderId="0" xfId="0" applyFont="1" applyAlignment="1">
      <alignment horizontal="center"/>
    </xf>
    <xf numFmtId="9" fontId="14" fillId="0" borderId="45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9" fontId="0" fillId="0" borderId="29" xfId="0" applyNumberFormat="1" applyBorder="1" applyAlignment="1">
      <alignment horizontal="center"/>
    </xf>
    <xf numFmtId="3" fontId="0" fillId="3" borderId="0" xfId="0" applyNumberFormat="1" applyFill="1" applyProtection="1">
      <protection locked="0"/>
    </xf>
    <xf numFmtId="0" fontId="5" fillId="5" borderId="14" xfId="0" applyFont="1" applyFill="1" applyBorder="1" applyAlignment="1">
      <alignment horizontal="center" vertical="center"/>
    </xf>
    <xf numFmtId="16" fontId="5" fillId="5" borderId="14" xfId="0" quotePrefix="1" applyNumberFormat="1" applyFont="1" applyFill="1" applyBorder="1" applyAlignment="1">
      <alignment horizontal="center" vertical="center"/>
    </xf>
    <xf numFmtId="0" fontId="5" fillId="5" borderId="14" xfId="0" quotePrefix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3" fontId="0" fillId="0" borderId="0" xfId="0" applyNumberFormat="1"/>
    <xf numFmtId="0" fontId="5" fillId="5" borderId="14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3" fontId="0" fillId="0" borderId="45" xfId="0" applyNumberForma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8" xfId="0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49" fontId="0" fillId="0" borderId="27" xfId="0" applyNumberFormat="1" applyBorder="1" applyAlignment="1">
      <alignment horizontal="center" vertical="center" textRotation="90" wrapText="1"/>
    </xf>
    <xf numFmtId="49" fontId="0" fillId="0" borderId="26" xfId="0" applyNumberFormat="1" applyBorder="1" applyAlignment="1">
      <alignment horizontal="center" vertical="center" textRotation="90" wrapText="1"/>
    </xf>
    <xf numFmtId="49" fontId="0" fillId="0" borderId="24" xfId="0" applyNumberFormat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3" fontId="0" fillId="0" borderId="31" xfId="0" applyNumberForma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4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9" xfId="0" applyBorder="1" applyAlignment="1">
      <alignment vertical="center"/>
    </xf>
    <xf numFmtId="0" fontId="0" fillId="0" borderId="31" xfId="0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4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9" borderId="7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7" borderId="41" xfId="0" applyFont="1" applyFill="1" applyBorder="1" applyAlignment="1">
      <alignment horizontal="left"/>
    </xf>
    <xf numFmtId="0" fontId="1" fillId="7" borderId="15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5" fillId="8" borderId="3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7" borderId="7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0" fillId="9" borderId="41" xfId="0" applyFill="1" applyBorder="1" applyAlignment="1">
      <alignment horizontal="left"/>
    </xf>
    <xf numFmtId="0" fontId="0" fillId="9" borderId="15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9" borderId="41" xfId="0" applyFont="1" applyFill="1" applyBorder="1" applyAlignment="1">
      <alignment horizontal="left"/>
    </xf>
    <xf numFmtId="0" fontId="5" fillId="9" borderId="15" xfId="0" applyFont="1" applyFill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9" borderId="41" xfId="0" applyFill="1" applyBorder="1" applyAlignment="1">
      <alignment horizontal="right"/>
    </xf>
    <xf numFmtId="0" fontId="0" fillId="9" borderId="15" xfId="0" applyFill="1" applyBorder="1" applyAlignment="1">
      <alignment horizontal="right"/>
    </xf>
    <xf numFmtId="0" fontId="0" fillId="0" borderId="31" xfId="0" applyBorder="1" applyAlignment="1">
      <alignment horizontal="left"/>
    </xf>
    <xf numFmtId="164" fontId="0" fillId="0" borderId="22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32" xfId="0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0" fillId="0" borderId="14" xfId="0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0" fillId="5" borderId="13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0" borderId="13" xfId="0" applyBorder="1"/>
    <xf numFmtId="0" fontId="0" fillId="0" borderId="15" xfId="0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1" fillId="4" borderId="1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0" fillId="0" borderId="27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3" fillId="0" borderId="0" xfId="0" applyFont="1"/>
    <xf numFmtId="0" fontId="0" fillId="0" borderId="4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11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</dxf>
    <dxf>
      <font>
        <color theme="5" tint="-0.499984740745262"/>
      </font>
      <fill>
        <patternFill>
          <bgColor rgb="FFFFEB9C"/>
        </patternFill>
      </fill>
    </dxf>
    <dxf>
      <font>
        <color theme="0"/>
      </font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</dxf>
    <dxf>
      <font>
        <color theme="5" tint="-0.499984740745262"/>
      </font>
      <fill>
        <patternFill>
          <bgColor rgb="FFFFEB9C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theme="5" tint="-0.499984740745262"/>
      </font>
      <fill>
        <patternFill>
          <fgColor auto="1"/>
          <bgColor theme="7" tint="0.59996337778862885"/>
        </patternFill>
      </fill>
    </dxf>
    <dxf>
      <font>
        <color theme="9" tint="-0.499984740745262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FF9999"/>
      <color rgb="FF9C0006"/>
      <color rgb="FFFFCCCC"/>
      <color rgb="FFFFC7CE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Données!$A$4:$B$4</c:f>
              <c:strCache>
                <c:ptCount val="2"/>
                <c:pt idx="0">
                  <c:v>30</c:v>
                </c:pt>
                <c:pt idx="1">
                  <c:v>Autorités et personnel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[0]!Serie_30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2-4D07-B334-FD3FBF935DAD}"/>
            </c:ext>
          </c:extLst>
        </c:ser>
        <c:ser>
          <c:idx val="1"/>
          <c:order val="1"/>
          <c:tx>
            <c:strRef>
              <c:f>Données!$A$5:$B$5</c:f>
              <c:strCache>
                <c:ptCount val="2"/>
                <c:pt idx="0">
                  <c:v>31</c:v>
                </c:pt>
                <c:pt idx="1">
                  <c:v>Biens, services, marchandises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[0]!Serie_31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1BF-43B0-A84B-653878FC02A7}"/>
            </c:ext>
          </c:extLst>
        </c:ser>
        <c:ser>
          <c:idx val="2"/>
          <c:order val="2"/>
          <c:tx>
            <c:strRef>
              <c:f>Données!$A$6:$B$6</c:f>
              <c:strCache>
                <c:ptCount val="2"/>
                <c:pt idx="0">
                  <c:v>32</c:v>
                </c:pt>
                <c:pt idx="1">
                  <c:v>Intérêts passifs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[0]!Serie_32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1BF-43B0-A84B-653878FC02A7}"/>
            </c:ext>
          </c:extLst>
        </c:ser>
        <c:ser>
          <c:idx val="8"/>
          <c:order val="3"/>
          <c:tx>
            <c:strRef>
              <c:f>Données!$A$7:$B$7</c:f>
              <c:strCache>
                <c:ptCount val="2"/>
                <c:pt idx="0">
                  <c:v>321</c:v>
                </c:pt>
                <c:pt idx="1">
                  <c:v>Intérêts des dettes à court terme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F-44D3-AC6D-CB60F0CF5690}"/>
            </c:ext>
          </c:extLst>
        </c:ser>
        <c:ser>
          <c:idx val="9"/>
          <c:order val="4"/>
          <c:tx>
            <c:strRef>
              <c:f>Données!$A$8:$B$8</c:f>
              <c:strCache>
                <c:ptCount val="2"/>
                <c:pt idx="0">
                  <c:v>322</c:v>
                </c:pt>
                <c:pt idx="1">
                  <c:v>Intérêts des dettes à moyen et long terme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F-44D3-AC6D-CB60F0CF5690}"/>
            </c:ext>
          </c:extLst>
        </c:ser>
        <c:ser>
          <c:idx val="3"/>
          <c:order val="5"/>
          <c:tx>
            <c:strRef>
              <c:f>Données!$A$9:$B$9</c:f>
              <c:strCache>
                <c:ptCount val="2"/>
                <c:pt idx="0">
                  <c:v>33</c:v>
                </c:pt>
                <c:pt idx="1">
                  <c:v>Amortissements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[0]!Serie_33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1BF-43B0-A84B-653878FC02A7}"/>
            </c:ext>
          </c:extLst>
        </c:ser>
        <c:ser>
          <c:idx val="10"/>
          <c:order val="6"/>
          <c:tx>
            <c:strRef>
              <c:f>Données!$A$10:$B$10</c:f>
              <c:strCache>
                <c:ptCount val="2"/>
                <c:pt idx="0">
                  <c:v>330</c:v>
                </c:pt>
                <c:pt idx="1">
                  <c:v>Amortissements du patrimoine financier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6F-44D3-AC6D-CB60F0CF5690}"/>
            </c:ext>
          </c:extLst>
        </c:ser>
        <c:ser>
          <c:idx val="11"/>
          <c:order val="7"/>
          <c:tx>
            <c:strRef>
              <c:f>Données!$A$11:$B$11</c:f>
              <c:strCache>
                <c:ptCount val="2"/>
                <c:pt idx="0">
                  <c:v>331</c:v>
                </c:pt>
                <c:pt idx="1">
                  <c:v>Amortissements obligatoires du patrimoine administratif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6F-44D3-AC6D-CB60F0CF5690}"/>
            </c:ext>
          </c:extLst>
        </c:ser>
        <c:ser>
          <c:idx val="4"/>
          <c:order val="8"/>
          <c:tx>
            <c:strRef>
              <c:f>Données!$A$14:$B$14</c:f>
              <c:strCache>
                <c:ptCount val="2"/>
                <c:pt idx="0">
                  <c:v>35</c:v>
                </c:pt>
                <c:pt idx="1">
                  <c:v>Remboursements, participations et subv.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[0]!Serie_35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1BF-43B0-A84B-653878FC02A7}"/>
            </c:ext>
          </c:extLst>
        </c:ser>
        <c:ser>
          <c:idx val="5"/>
          <c:order val="9"/>
          <c:tx>
            <c:strRef>
              <c:f>Données!$A$15:$B$15</c:f>
              <c:strCache>
                <c:ptCount val="2"/>
                <c:pt idx="0">
                  <c:v>36</c:v>
                </c:pt>
                <c:pt idx="1">
                  <c:v>Aides et subventions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[0]!Serie_36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1BF-43B0-A84B-653878FC02A7}"/>
            </c:ext>
          </c:extLst>
        </c:ser>
        <c:ser>
          <c:idx val="6"/>
          <c:order val="10"/>
          <c:tx>
            <c:strRef>
              <c:f>Données!$A$16:$B$16</c:f>
              <c:strCache>
                <c:ptCount val="2"/>
                <c:pt idx="0">
                  <c:v>38</c:v>
                </c:pt>
                <c:pt idx="1">
                  <c:v>Attributions aux fonds et aux financements spéciaux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[0]!Serie_38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1BF-43B0-A84B-653878FC02A7}"/>
            </c:ext>
          </c:extLst>
        </c:ser>
        <c:ser>
          <c:idx val="7"/>
          <c:order val="11"/>
          <c:tx>
            <c:strRef>
              <c:f>Données!$A$18:$B$18</c:f>
              <c:strCache>
                <c:ptCount val="2"/>
                <c:pt idx="0">
                  <c:v>39</c:v>
                </c:pt>
                <c:pt idx="1">
                  <c:v>Imputations internes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[0]!Serie_39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1BF-43B0-A84B-653878FC02A7}"/>
            </c:ext>
          </c:extLst>
        </c:ser>
        <c:ser>
          <c:idx val="12"/>
          <c:order val="12"/>
          <c:tx>
            <c:strRef>
              <c:f>Données!$A$12:$B$12</c:f>
              <c:strCache>
                <c:ptCount val="2"/>
                <c:pt idx="0">
                  <c:v>332</c:v>
                </c:pt>
                <c:pt idx="1">
                  <c:v>Autres amortissements du patrimoine administratif 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6F-44D3-AC6D-CB60F0CF5690}"/>
            </c:ext>
          </c:extLst>
        </c:ser>
        <c:ser>
          <c:idx val="13"/>
          <c:order val="13"/>
          <c:tx>
            <c:strRef>
              <c:f>Données!$A$13:$B$13</c:f>
              <c:strCache>
                <c:ptCount val="2"/>
                <c:pt idx="0">
                  <c:v>333</c:v>
                </c:pt>
                <c:pt idx="1">
                  <c:v>Amortissement du découvert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6F-44D3-AC6D-CB60F0CF5690}"/>
            </c:ext>
          </c:extLst>
        </c:ser>
        <c:ser>
          <c:idx val="14"/>
          <c:order val="14"/>
          <c:tx>
            <c:strRef>
              <c:f>Données!$A$17:$B$17</c:f>
              <c:strCache>
                <c:ptCount val="2"/>
                <c:pt idx="0">
                  <c:v>381</c:v>
                </c:pt>
                <c:pt idx="1">
                  <c:v>Attributions aux financements spéciaux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[0]!Serie_381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6F-44D3-AC6D-CB60F0CF5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1524335"/>
        <c:axId val="1381521423"/>
      </c:lineChart>
      <c:catAx>
        <c:axId val="1381524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Années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1521423"/>
        <c:crosses val="autoZero"/>
        <c:auto val="1"/>
        <c:lblAlgn val="ctr"/>
        <c:lblOffset val="100"/>
        <c:noMultiLvlLbl val="0"/>
      </c:catAx>
      <c:valAx>
        <c:axId val="1381521423"/>
        <c:scaling>
          <c:orientation val="minMax"/>
        </c:scaling>
        <c:delete val="0"/>
        <c:axPos val="l"/>
        <c:majorGridlines>
          <c:spPr>
            <a:ln w="1270" cap="flat" cmpd="sng" algn="ctr">
              <a:solidFill>
                <a:schemeClr val="tx1">
                  <a:lumMod val="15000"/>
                  <a:lumOff val="85000"/>
                  <a:alpha val="99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</a:t>
                </a:r>
                <a:r>
                  <a:rPr lang="en-US" baseline="0"/>
                  <a:t> CHF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152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699664664718634"/>
          <c:y val="0.46844292944225119"/>
          <c:w val="0.26300329735607858"/>
          <c:h val="0.53155720126380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CH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CH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rPr>
              <a:t>Politique d'amortissement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CH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TBAF!$V$30:$V$31</c:f>
              <c:strCache>
                <c:ptCount val="2"/>
                <c:pt idx="0">
                  <c:v>AO</c:v>
                </c:pt>
                <c:pt idx="1">
                  <c:v>DB/30</c:v>
                </c:pt>
              </c:strCache>
            </c:strRef>
          </c:cat>
          <c:val>
            <c:numRef>
              <c:f>TBAF!$W$30:$W$31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4-4AD9-9F3B-82026C687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657176"/>
        <c:axId val="862652912"/>
      </c:barChart>
      <c:catAx>
        <c:axId val="86265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1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862652912"/>
        <c:crosses val="autoZero"/>
        <c:auto val="1"/>
        <c:lblAlgn val="ctr"/>
        <c:lblOffset val="100"/>
        <c:noMultiLvlLbl val="0"/>
      </c:catAx>
      <c:valAx>
        <c:axId val="86265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86265717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algn="ctr" rtl="0">
                  <a:defRPr lang="fr-CH" sz="9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CH" sz="1100" b="1"/>
              <a:t>Evolution du solde de fonctionnement épuré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100905349794238"/>
          <c:y val="0.15904915294679073"/>
          <c:w val="0.72551934156378606"/>
          <c:h val="0.5429037833685423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TBEP!$A$6</c:f>
              <c:strCache>
                <c:ptCount val="1"/>
                <c:pt idx="0">
                  <c:v>SOLDE DE FONCTIONNEMENT EPURE (SFE)</c:v>
                </c:pt>
              </c:strCache>
            </c:strRef>
          </c:tx>
          <c:spPr>
            <a:solidFill>
              <a:schemeClr val="accent3"/>
            </a:solidFill>
            <a:ln w="22225">
              <a:noFill/>
            </a:ln>
            <a:effectLst/>
          </c:spPr>
          <c:invertIfNegative val="0"/>
          <c:cat>
            <c:numRef>
              <c:f>TBEP!$B$3:$L$3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numCache>
            </c:numRef>
          </c:cat>
          <c:val>
            <c:numRef>
              <c:f>TBEP!$B$6:$L$6</c:f>
              <c:numCache>
                <c:formatCode>#\ ##0_ ;[Red]\-#\ ##0\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09-427A-9A07-FB9C3FB0C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710447"/>
        <c:axId val="1789086847"/>
      </c:barChart>
      <c:lineChart>
        <c:grouping val="standard"/>
        <c:varyColors val="0"/>
        <c:ser>
          <c:idx val="0"/>
          <c:order val="0"/>
          <c:tx>
            <c:strRef>
              <c:f>TBEP!$A$4</c:f>
              <c:strCache>
                <c:ptCount val="1"/>
                <c:pt idx="0">
                  <c:v>Charges de fonctionnement épurées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TBEP!$B$3:$L$3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numCache>
            </c:numRef>
          </c:cat>
          <c:val>
            <c:numRef>
              <c:f>TBEP!$B$4:$L$4</c:f>
              <c:numCache>
                <c:formatCode>#\ ##0_ ;[Red]\-#\ ##0\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9-427A-9A07-FB9C3FB0C876}"/>
            </c:ext>
          </c:extLst>
        </c:ser>
        <c:ser>
          <c:idx val="1"/>
          <c:order val="1"/>
          <c:tx>
            <c:strRef>
              <c:f>TBEP!$A$5</c:f>
              <c:strCache>
                <c:ptCount val="1"/>
                <c:pt idx="0">
                  <c:v>Revenus de fonctionnement épurés 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numRef>
              <c:f>TBEP!$B$3:$L$3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numCache>
            </c:numRef>
          </c:cat>
          <c:val>
            <c:numRef>
              <c:f>TBEP!$B$5:$L$5</c:f>
              <c:numCache>
                <c:formatCode>#\ ##0_ ;[Red]\-#\ ##0\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9-427A-9A07-FB9C3FB0C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674000"/>
        <c:axId val="1783671920"/>
      </c:lineChart>
      <c:catAx>
        <c:axId val="178367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CH" i="1"/>
                  <a:t>Années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83671920"/>
        <c:crosses val="autoZero"/>
        <c:auto val="1"/>
        <c:lblAlgn val="ctr"/>
        <c:lblOffset val="100"/>
        <c:noMultiLvlLbl val="0"/>
      </c:catAx>
      <c:valAx>
        <c:axId val="1783671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CH" i="1"/>
                  <a:t>Valeur</a:t>
                </a:r>
                <a:r>
                  <a:rPr lang="fr-CH" i="1" baseline="0"/>
                  <a:t>s en CHF</a:t>
                </a:r>
                <a:endParaRPr lang="fr-CH" i="1"/>
              </a:p>
            </c:rich>
          </c:tx>
          <c:layout>
            <c:manualLayout>
              <c:xMode val="edge"/>
              <c:yMode val="edge"/>
              <c:x val="3.0480313783701595E-2"/>
              <c:y val="0.32912139583025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83674000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fr-CH" sz="800"/>
                    <a:t>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789086847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554710447"/>
        <c:crosses val="max"/>
        <c:crossBetween val="between"/>
        <c:dispUnits>
          <c:builtInUnit val="thousands"/>
        </c:dispUnits>
      </c:valAx>
      <c:catAx>
        <c:axId val="1554710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90868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66998204171848E-2"/>
          <c:y val="0.84820391353519831"/>
          <c:w val="0.92499380341880344"/>
          <c:h val="0.1265437552013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CH" sz="1100" b="1"/>
              <a:t>Capacité économique</a:t>
            </a:r>
            <a:r>
              <a:rPr lang="fr-CH" sz="1100" b="1" baseline="0"/>
              <a:t> d'endettement et dette nette</a:t>
            </a:r>
            <a:endParaRPr lang="fr-CH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0948086419753087"/>
          <c:y val="0.15256767146530922"/>
          <c:w val="0.73025864197530876"/>
          <c:h val="0.54263821860977057"/>
        </c:manualLayout>
      </c:layout>
      <c:lineChart>
        <c:grouping val="standard"/>
        <c:varyColors val="0"/>
        <c:ser>
          <c:idx val="0"/>
          <c:order val="0"/>
          <c:tx>
            <c:strRef>
              <c:f>TBEP!$A$14</c:f>
              <c:strCache>
                <c:ptCount val="1"/>
                <c:pt idx="0">
                  <c:v>Capacité économique d'endettement (CEE)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TBEP!$B$3:$L$3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numCache>
            </c:numRef>
          </c:cat>
          <c:val>
            <c:numRef>
              <c:f>TBEP!$B$14:$L$14</c:f>
              <c:numCache>
                <c:formatCode>#\ ##0_ ;[Red]\-#\ ##0\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5-4DF4-BD68-D070BACE90FF}"/>
            </c:ext>
          </c:extLst>
        </c:ser>
        <c:ser>
          <c:idx val="1"/>
          <c:order val="1"/>
          <c:tx>
            <c:strRef>
              <c:f>TBEP!$A$13</c:f>
              <c:strCache>
                <c:ptCount val="1"/>
                <c:pt idx="0">
                  <c:v>Dette nette (DN)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TBEP!$B$3:$L$3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numCache>
            </c:numRef>
          </c:cat>
          <c:val>
            <c:numRef>
              <c:f>TBEP!$B$13:$L$13</c:f>
              <c:numCache>
                <c:formatCode>#\ ##0_ ;[Red]\-#\ ##0\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5-4DF4-BD68-D070BACE9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674000"/>
        <c:axId val="1783671920"/>
      </c:lineChart>
      <c:catAx>
        <c:axId val="178367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CH" i="1"/>
                  <a:t>Années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83671920"/>
        <c:crosses val="autoZero"/>
        <c:auto val="1"/>
        <c:lblAlgn val="ctr"/>
        <c:lblOffset val="100"/>
        <c:noMultiLvlLbl val="0"/>
      </c:catAx>
      <c:valAx>
        <c:axId val="178367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CH" i="1"/>
                  <a:t>Valeurs</a:t>
                </a:r>
                <a:r>
                  <a:rPr lang="fr-CH" i="1" baseline="0"/>
                  <a:t> en CHF</a:t>
                </a:r>
                <a:endParaRPr lang="fr-CH" i="1"/>
              </a:p>
            </c:rich>
          </c:tx>
          <c:layout>
            <c:manualLayout>
              <c:xMode val="edge"/>
              <c:yMode val="edge"/>
              <c:x val="2.8087037037037035E-2"/>
              <c:y val="0.33817370630191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83674000"/>
        <c:crosses val="autoZero"/>
        <c:crossBetween val="midCat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fr-CH" sz="800"/>
                    <a:t>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Données!$A$22:$B$22</c:f>
              <c:strCache>
                <c:ptCount val="2"/>
                <c:pt idx="0">
                  <c:v>40</c:v>
                </c:pt>
                <c:pt idx="1">
                  <c:v>Impôts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[0]!Serie_40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0-4D5D-9A30-3273B5B2F8E5}"/>
            </c:ext>
          </c:extLst>
        </c:ser>
        <c:ser>
          <c:idx val="9"/>
          <c:order val="1"/>
          <c:tx>
            <c:strRef>
              <c:f>Données!$A$23:$B$23</c:f>
              <c:strCache>
                <c:ptCount val="2"/>
                <c:pt idx="0">
                  <c:v>400</c:v>
                </c:pt>
                <c:pt idx="1">
                  <c:v>Impôts sur le revenu et la fortune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[0]!Serie_400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7-4E50-BA52-EA2110BBD502}"/>
            </c:ext>
          </c:extLst>
        </c:ser>
        <c:ser>
          <c:idx val="10"/>
          <c:order val="2"/>
          <c:tx>
            <c:strRef>
              <c:f>Données!$A$24:$B$24</c:f>
              <c:strCache>
                <c:ptCount val="2"/>
                <c:pt idx="0">
                  <c:v>401</c:v>
                </c:pt>
                <c:pt idx="1">
                  <c:v>Impôts sur le bénéfice et le capital PM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[0]!Serie_401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F7-4E50-BA52-EA2110BBD502}"/>
            </c:ext>
          </c:extLst>
        </c:ser>
        <c:ser>
          <c:idx val="1"/>
          <c:order val="3"/>
          <c:tx>
            <c:strRef>
              <c:f>Données!$A$25:$B$25</c:f>
              <c:strCache>
                <c:ptCount val="2"/>
                <c:pt idx="0">
                  <c:v>41</c:v>
                </c:pt>
                <c:pt idx="1">
                  <c:v>Patentes, concessions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[0]!Serie_41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0-4D5D-9A30-3273B5B2F8E5}"/>
            </c:ext>
          </c:extLst>
        </c:ser>
        <c:ser>
          <c:idx val="2"/>
          <c:order val="4"/>
          <c:tx>
            <c:strRef>
              <c:f>Données!$A$26:$B$26</c:f>
              <c:strCache>
                <c:ptCount val="2"/>
                <c:pt idx="0">
                  <c:v>42</c:v>
                </c:pt>
                <c:pt idx="1">
                  <c:v>Revenus du patrimoine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[0]!Serie_42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0-4D5D-9A30-3273B5B2F8E5}"/>
            </c:ext>
          </c:extLst>
        </c:ser>
        <c:ser>
          <c:idx val="11"/>
          <c:order val="5"/>
          <c:tx>
            <c:strRef>
              <c:f>Données!$A$27:$B$27</c:f>
              <c:strCache>
                <c:ptCount val="2"/>
                <c:pt idx="0">
                  <c:v>424</c:v>
                </c:pt>
                <c:pt idx="1">
                  <c:v>Gains comptables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F7-4E50-BA52-EA2110BBD502}"/>
            </c:ext>
          </c:extLst>
        </c:ser>
        <c:ser>
          <c:idx val="12"/>
          <c:order val="6"/>
          <c:tx>
            <c:strRef>
              <c:f>Données!$A$28:$B$28</c:f>
              <c:strCache>
                <c:ptCount val="2"/>
                <c:pt idx="0">
                  <c:v>425</c:v>
                </c:pt>
                <c:pt idx="1">
                  <c:v>Revenus des prêts et participations du PA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F7-4E50-BA52-EA2110BBD502}"/>
            </c:ext>
          </c:extLst>
        </c:ser>
        <c:ser>
          <c:idx val="13"/>
          <c:order val="7"/>
          <c:tx>
            <c:strRef>
              <c:f>Données!$A$29:$B$29</c:f>
              <c:strCache>
                <c:ptCount val="2"/>
                <c:pt idx="0">
                  <c:v>427</c:v>
                </c:pt>
                <c:pt idx="1">
                  <c:v>Revenus des immeubles du PA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F7-4E50-BA52-EA2110BBD502}"/>
            </c:ext>
          </c:extLst>
        </c:ser>
        <c:ser>
          <c:idx val="3"/>
          <c:order val="8"/>
          <c:tx>
            <c:strRef>
              <c:f>Données!$A$30:$B$30</c:f>
              <c:strCache>
                <c:ptCount val="2"/>
                <c:pt idx="0">
                  <c:v>43</c:v>
                </c:pt>
                <c:pt idx="1">
                  <c:v>Taxes, émoluments, produits des ventes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[0]!Serie_43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50-4D5D-9A30-3273B5B2F8E5}"/>
            </c:ext>
          </c:extLst>
        </c:ser>
        <c:ser>
          <c:idx val="14"/>
          <c:order val="9"/>
          <c:tx>
            <c:strRef>
              <c:f>Données!$A$31:$B$31</c:f>
              <c:strCache>
                <c:ptCount val="2"/>
                <c:pt idx="0">
                  <c:v>431</c:v>
                </c:pt>
                <c:pt idx="1">
                  <c:v>Émoluments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F7-4E50-BA52-EA2110BBD502}"/>
            </c:ext>
          </c:extLst>
        </c:ser>
        <c:ser>
          <c:idx val="8"/>
          <c:order val="10"/>
          <c:tx>
            <c:strRef>
              <c:f>Données!$A$32:$B$32</c:f>
              <c:strCache>
                <c:ptCount val="2"/>
                <c:pt idx="0">
                  <c:v>44</c:v>
                </c:pt>
                <c:pt idx="1">
                  <c:v>Parts à des recettes cantonales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[0]!Serie_44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50-4D5D-9A30-3273B5B2F8E5}"/>
            </c:ext>
          </c:extLst>
        </c:ser>
        <c:ser>
          <c:idx val="4"/>
          <c:order val="11"/>
          <c:tx>
            <c:strRef>
              <c:f>Données!$A$33:$B$33</c:f>
              <c:strCache>
                <c:ptCount val="2"/>
                <c:pt idx="0">
                  <c:v>45</c:v>
                </c:pt>
                <c:pt idx="1">
                  <c:v>Participations et remboursements de collectivités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[0]!Serie_45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50-4D5D-9A30-3273B5B2F8E5}"/>
            </c:ext>
          </c:extLst>
        </c:ser>
        <c:ser>
          <c:idx val="5"/>
          <c:order val="12"/>
          <c:tx>
            <c:strRef>
              <c:f>Données!$A$34:$B$34</c:f>
              <c:strCache>
                <c:ptCount val="2"/>
                <c:pt idx="0">
                  <c:v>46</c:v>
                </c:pt>
                <c:pt idx="1">
                  <c:v>Autres prestations et subventions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[0]!Serie_46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50-4D5D-9A30-3273B5B2F8E5}"/>
            </c:ext>
          </c:extLst>
        </c:ser>
        <c:ser>
          <c:idx val="6"/>
          <c:order val="13"/>
          <c:tx>
            <c:strRef>
              <c:f>Données!$A$35:$B$35</c:f>
              <c:strCache>
                <c:ptCount val="2"/>
                <c:pt idx="0">
                  <c:v>48</c:v>
                </c:pt>
                <c:pt idx="1">
                  <c:v>Prélèvements sur les fonds et financements spéciaux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[0]!Serie_48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50-4D5D-9A30-3273B5B2F8E5}"/>
            </c:ext>
          </c:extLst>
        </c:ser>
        <c:ser>
          <c:idx val="15"/>
          <c:order val="14"/>
          <c:tx>
            <c:strRef>
              <c:f>Données!$A$36:$B$36</c:f>
              <c:strCache>
                <c:ptCount val="2"/>
                <c:pt idx="0">
                  <c:v>481</c:v>
                </c:pt>
                <c:pt idx="1">
                  <c:v>Prélèvements sur les financements spéciaux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[0]!Serie_481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F7-4E50-BA52-EA2110BBD502}"/>
            </c:ext>
          </c:extLst>
        </c:ser>
        <c:ser>
          <c:idx val="7"/>
          <c:order val="15"/>
          <c:tx>
            <c:strRef>
              <c:f>Données!$A$37:$B$37</c:f>
              <c:strCache>
                <c:ptCount val="2"/>
                <c:pt idx="0">
                  <c:v>49</c:v>
                </c:pt>
                <c:pt idx="1">
                  <c:v>Imputations internes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Données!$C$3:$G$3</c:f>
              <c:numCache>
                <c:formatCode>General</c:formatCode>
                <c:ptCount val="5"/>
              </c:numCache>
            </c:numRef>
          </c:cat>
          <c:val>
            <c:numRef>
              <c:f>[0]!Serie_49</c:f>
              <c:numCache>
                <c:formatCode>#\ ##0_ ;[Red]\-#\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50-4D5D-9A30-3273B5B2F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1524335"/>
        <c:axId val="1381521423"/>
      </c:lineChart>
      <c:catAx>
        <c:axId val="1381524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Années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1521423"/>
        <c:crosses val="autoZero"/>
        <c:auto val="1"/>
        <c:lblAlgn val="ctr"/>
        <c:lblOffset val="100"/>
        <c:noMultiLvlLbl val="0"/>
      </c:catAx>
      <c:valAx>
        <c:axId val="1381521423"/>
        <c:scaling>
          <c:orientation val="minMax"/>
        </c:scaling>
        <c:delete val="0"/>
        <c:axPos val="l"/>
        <c:majorGridlines>
          <c:spPr>
            <a:ln w="1270" cap="flat" cmpd="sng" algn="ctr">
              <a:solidFill>
                <a:schemeClr val="tx1">
                  <a:lumMod val="15000"/>
                  <a:lumOff val="85000"/>
                  <a:alpha val="99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</a:t>
                </a:r>
                <a:r>
                  <a:rPr lang="en-US" baseline="0"/>
                  <a:t> CHF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152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699664664718634"/>
          <c:y val="0.46844292944225119"/>
          <c:w val="0.26300340930507476"/>
          <c:h val="0.53155711556657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CH" sz="1100" b="1"/>
              <a:t>Evolution du solde de fonctionnement épuré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0070534979423868"/>
          <c:y val="0.15904915294679073"/>
          <c:w val="0.76216131687242794"/>
          <c:h val="0.5429037833685423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TBAF!$A$6</c:f>
              <c:strCache>
                <c:ptCount val="1"/>
                <c:pt idx="0">
                  <c:v>SOLDE DE FONCTIONNEMENT EPURE (SFE)</c:v>
                </c:pt>
              </c:strCache>
            </c:strRef>
          </c:tx>
          <c:spPr>
            <a:solidFill>
              <a:schemeClr val="accent3"/>
            </a:solidFill>
            <a:ln w="22225">
              <a:noFill/>
            </a:ln>
            <a:effectLst/>
          </c:spPr>
          <c:invertIfNegative val="0"/>
          <c:cat>
            <c:numRef>
              <c:f>TBAF!$B$2:$F$2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TBAF!$B$6:$F$6</c:f>
              <c:numCache>
                <c:formatCode>#\ ##0_ ;[Red]\-#\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F-429D-BC5C-43A945D90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425151"/>
        <c:axId val="2069424319"/>
      </c:barChart>
      <c:lineChart>
        <c:grouping val="standard"/>
        <c:varyColors val="0"/>
        <c:ser>
          <c:idx val="0"/>
          <c:order val="0"/>
          <c:tx>
            <c:strRef>
              <c:f>TBAF!$A$4</c:f>
              <c:strCache>
                <c:ptCount val="1"/>
                <c:pt idx="0">
                  <c:v>Charges de fonctionnement épurées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TBAF!$B$2:$F$2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TBAF!$B$4:$F$4</c:f>
              <c:numCache>
                <c:formatCode>#\ ##0_ ;[Red]\-#\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F-429D-BC5C-43A945D9005F}"/>
            </c:ext>
          </c:extLst>
        </c:ser>
        <c:ser>
          <c:idx val="1"/>
          <c:order val="1"/>
          <c:tx>
            <c:strRef>
              <c:f>TBAF!$A$5</c:f>
              <c:strCache>
                <c:ptCount val="1"/>
                <c:pt idx="0">
                  <c:v>Revenus de fonctionnement épurés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numRef>
              <c:f>TBAF!$B$2:$F$2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TBAF!$B$5:$F$5</c:f>
              <c:numCache>
                <c:formatCode>#\ ##0_ ;[Red]\-#\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F-429D-BC5C-43A945D90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674000"/>
        <c:axId val="1783671920"/>
      </c:lineChart>
      <c:catAx>
        <c:axId val="178367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CH" i="1"/>
                  <a:t>Années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83671920"/>
        <c:crosses val="autoZero"/>
        <c:auto val="1"/>
        <c:lblAlgn val="ctr"/>
        <c:lblOffset val="100"/>
        <c:noMultiLvlLbl val="0"/>
      </c:catAx>
      <c:valAx>
        <c:axId val="1783671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CH" i="1"/>
                  <a:t>Valeur</a:t>
                </a:r>
                <a:r>
                  <a:rPr lang="fr-CH" i="1" baseline="0"/>
                  <a:t>s en CHF</a:t>
                </a:r>
                <a:endParaRPr lang="fr-CH" i="1"/>
              </a:p>
            </c:rich>
          </c:tx>
          <c:layout>
            <c:manualLayout>
              <c:xMode val="edge"/>
              <c:yMode val="edge"/>
              <c:x val="3.4864626660275539E-3"/>
              <c:y val="0.36827173001296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83674000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fr-CH" sz="800"/>
                    <a:t>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2069424319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069425151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catAx>
        <c:axId val="2069425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94243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752969121140144E-3"/>
          <c:y val="0.81482425730213326"/>
          <c:w val="0.57344979146015307"/>
          <c:h val="0.171049830341865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CH" sz="1100" b="1"/>
              <a:t>Capacité économique</a:t>
            </a:r>
            <a:r>
              <a:rPr lang="fr-CH" sz="1100" b="1" baseline="0"/>
              <a:t> d'endettement et dette nette</a:t>
            </a:r>
            <a:endParaRPr lang="fr-CH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732037037037036"/>
          <c:y val="0.15256767146530922"/>
          <c:w val="0.72241913580246908"/>
          <c:h val="0.54263821860977057"/>
        </c:manualLayout>
      </c:layout>
      <c:lineChart>
        <c:grouping val="standard"/>
        <c:varyColors val="0"/>
        <c:ser>
          <c:idx val="0"/>
          <c:order val="0"/>
          <c:tx>
            <c:strRef>
              <c:f>TBAF!$A$15</c:f>
              <c:strCache>
                <c:ptCount val="1"/>
                <c:pt idx="0">
                  <c:v>Capacité économique d'endettement (CEE)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TBAF!$B$2:$F$2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TBAF!$B$15:$F$15</c:f>
              <c:numCache>
                <c:formatCode>#\ ##0_ ;[Red]\-#\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46-4935-8DDD-BEDF49E2658E}"/>
            </c:ext>
          </c:extLst>
        </c:ser>
        <c:ser>
          <c:idx val="1"/>
          <c:order val="1"/>
          <c:tx>
            <c:strRef>
              <c:f>TBAF!$A$14</c:f>
              <c:strCache>
                <c:ptCount val="1"/>
                <c:pt idx="0">
                  <c:v>Dette nette (DN)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TBAF!$B$2:$F$2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TBAF!$B$14:$F$14</c:f>
              <c:numCache>
                <c:formatCode>#\ ##0_ ;[Red]\-#\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46-4935-8DDD-BEDF49E2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674000"/>
        <c:axId val="1783671920"/>
      </c:lineChart>
      <c:catAx>
        <c:axId val="178367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CH" i="1"/>
                  <a:t>Années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83671920"/>
        <c:crosses val="autoZero"/>
        <c:auto val="1"/>
        <c:lblAlgn val="ctr"/>
        <c:lblOffset val="100"/>
        <c:noMultiLvlLbl val="0"/>
      </c:catAx>
      <c:valAx>
        <c:axId val="178367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CH" i="1"/>
                  <a:t>Valeurs</a:t>
                </a:r>
                <a:r>
                  <a:rPr lang="fr-CH" i="1" baseline="0"/>
                  <a:t> en CHF</a:t>
                </a:r>
                <a:endParaRPr lang="fr-CH" i="1"/>
              </a:p>
            </c:rich>
          </c:tx>
          <c:layout>
            <c:manualLayout>
              <c:xMode val="edge"/>
              <c:yMode val="edge"/>
              <c:x val="2.5097129662558823E-2"/>
              <c:y val="0.32294616699883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83674000"/>
        <c:crosses val="autoZero"/>
        <c:crossBetween val="midCat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fr-CH" sz="800"/>
                    <a:t>Milliers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fr-FR"/>
    </a:p>
  </c:txPr>
  <c:printSettings>
    <c:headerFooter>
      <c:oddFooter>&amp;L&amp;8Fichier d'analyse réalisé par l'UCV
conseils@ucv.ch&amp;C&amp;G</c:oddFooter>
    </c:headerFooter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rPr>
              <a:t>Indicateurs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3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multiLvlStrRef>
              <c:f>TBAF!$K$12:$N$16</c:f>
              <c:multiLvlStrCache>
                <c:ptCount val="5"/>
                <c:lvl>
                  <c:pt idx="0">
                    <c:v>DN / RC</c:v>
                  </c:pt>
                  <c:pt idx="1">
                    <c:v>DN /MA</c:v>
                  </c:pt>
                  <c:pt idx="2">
                    <c:v>IP / RC</c:v>
                  </c:pt>
                  <c:pt idx="3">
                    <c:v>MA / DNI</c:v>
                  </c:pt>
                  <c:pt idx="4">
                    <c:v>MA / RC</c:v>
                  </c:pt>
                </c:lvl>
                <c:lvl>
                  <c:pt idx="0">
                    <c:v>Poids de la dette</c:v>
                  </c:pt>
                  <c:pt idx="1">
                    <c:v>Renouvellement de la dette</c:v>
                  </c:pt>
                  <c:pt idx="2">
                    <c:v>Poids des intérêts passifs</c:v>
                  </c:pt>
                  <c:pt idx="3">
                    <c:v>Degré d'autofinancement</c:v>
                  </c:pt>
                  <c:pt idx="4">
                    <c:v>Taux d'autofinancement</c:v>
                  </c:pt>
                </c:lvl>
              </c:multiLvlStrCache>
            </c:multiLvlStrRef>
          </c:cat>
          <c:val>
            <c:numRef>
              <c:f>TBAF!$R$12:$R$16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B8-42F8-903F-18ED2CAD8AA6}"/>
            </c:ext>
          </c:extLst>
        </c:ser>
        <c:ser>
          <c:idx val="1"/>
          <c:order val="1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multiLvlStrRef>
              <c:f>TBAF!$K$12:$N$16</c:f>
              <c:multiLvlStrCache>
                <c:ptCount val="5"/>
                <c:lvl>
                  <c:pt idx="0">
                    <c:v>DN / RC</c:v>
                  </c:pt>
                  <c:pt idx="1">
                    <c:v>DN /MA</c:v>
                  </c:pt>
                  <c:pt idx="2">
                    <c:v>IP / RC</c:v>
                  </c:pt>
                  <c:pt idx="3">
                    <c:v>MA / DNI</c:v>
                  </c:pt>
                  <c:pt idx="4">
                    <c:v>MA / RC</c:v>
                  </c:pt>
                </c:lvl>
                <c:lvl>
                  <c:pt idx="0">
                    <c:v>Poids de la dette</c:v>
                  </c:pt>
                  <c:pt idx="1">
                    <c:v>Renouvellement de la dette</c:v>
                  </c:pt>
                  <c:pt idx="2">
                    <c:v>Poids des intérêts passifs</c:v>
                  </c:pt>
                  <c:pt idx="3">
                    <c:v>Degré d'autofinancement</c:v>
                  </c:pt>
                  <c:pt idx="4">
                    <c:v>Taux d'autofinancement</c:v>
                  </c:pt>
                </c:lvl>
              </c:multiLvlStrCache>
            </c:multiLvlStrRef>
          </c:cat>
          <c:val>
            <c:numRef>
              <c:f>TBAF!$P$12:$P$16</c:f>
              <c:numCache>
                <c:formatCode>General</c:formatCode>
                <c:ptCount val="5"/>
                <c:pt idx="0">
                  <c:v>33.333333333333336</c:v>
                </c:pt>
                <c:pt idx="1">
                  <c:v>33.333333333333336</c:v>
                </c:pt>
                <c:pt idx="2">
                  <c:v>33.333333333333336</c:v>
                </c:pt>
                <c:pt idx="3">
                  <c:v>33.333333333333336</c:v>
                </c:pt>
                <c:pt idx="4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8-42F8-903F-18ED2CAD8AA6}"/>
            </c:ext>
          </c:extLst>
        </c:ser>
        <c:ser>
          <c:idx val="2"/>
          <c:order val="2"/>
          <c:spPr>
            <a:solidFill>
              <a:srgbClr val="FF9999"/>
            </a:solidFill>
            <a:ln>
              <a:noFill/>
            </a:ln>
            <a:effectLst/>
          </c:spPr>
          <c:cat>
            <c:multiLvlStrRef>
              <c:f>TBAF!$K$12:$N$16</c:f>
              <c:multiLvlStrCache>
                <c:ptCount val="5"/>
                <c:lvl>
                  <c:pt idx="0">
                    <c:v>DN / RC</c:v>
                  </c:pt>
                  <c:pt idx="1">
                    <c:v>DN /MA</c:v>
                  </c:pt>
                  <c:pt idx="2">
                    <c:v>IP / RC</c:v>
                  </c:pt>
                  <c:pt idx="3">
                    <c:v>MA / DNI</c:v>
                  </c:pt>
                  <c:pt idx="4">
                    <c:v>MA / RC</c:v>
                  </c:pt>
                </c:lvl>
                <c:lvl>
                  <c:pt idx="0">
                    <c:v>Poids de la dette</c:v>
                  </c:pt>
                  <c:pt idx="1">
                    <c:v>Renouvellement de la dette</c:v>
                  </c:pt>
                  <c:pt idx="2">
                    <c:v>Poids des intérêts passifs</c:v>
                  </c:pt>
                  <c:pt idx="3">
                    <c:v>Degré d'autofinancement</c:v>
                  </c:pt>
                  <c:pt idx="4">
                    <c:v>Taux d'autofinancement</c:v>
                  </c:pt>
                </c:lvl>
              </c:multiLvlStrCache>
            </c:multiLvlStrRef>
          </c:cat>
          <c:val>
            <c:numRef>
              <c:f>TBAF!$Q$12:$Q$16</c:f>
              <c:numCache>
                <c:formatCode>General</c:formatCode>
                <c:ptCount val="5"/>
                <c:pt idx="0">
                  <c:v>66.666666666666671</c:v>
                </c:pt>
                <c:pt idx="1">
                  <c:v>66.666666666666671</c:v>
                </c:pt>
                <c:pt idx="2">
                  <c:v>66.666666666666671</c:v>
                </c:pt>
                <c:pt idx="3">
                  <c:v>66.666666666666671</c:v>
                </c:pt>
                <c:pt idx="4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8-42F8-903F-18ED2CAD8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241920"/>
        <c:axId val="635239624"/>
      </c:radarChart>
      <c:radarChart>
        <c:radarStyle val="marker"/>
        <c:varyColors val="0"/>
        <c:ser>
          <c:idx val="0"/>
          <c:order val="3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cat>
            <c:multiLvlStrRef>
              <c:f>TBAF!$K$12:$N$16</c:f>
              <c:multiLvlStrCache>
                <c:ptCount val="5"/>
                <c:lvl>
                  <c:pt idx="0">
                    <c:v>DN / RC</c:v>
                  </c:pt>
                  <c:pt idx="1">
                    <c:v>DN /MA</c:v>
                  </c:pt>
                  <c:pt idx="2">
                    <c:v>IP / RC</c:v>
                  </c:pt>
                  <c:pt idx="3">
                    <c:v>MA / DNI</c:v>
                  </c:pt>
                  <c:pt idx="4">
                    <c:v>MA / RC</c:v>
                  </c:pt>
                </c:lvl>
                <c:lvl>
                  <c:pt idx="0">
                    <c:v>Poids de la dette</c:v>
                  </c:pt>
                  <c:pt idx="1">
                    <c:v>Renouvellement de la dette</c:v>
                  </c:pt>
                  <c:pt idx="2">
                    <c:v>Poids des intérêts passifs</c:v>
                  </c:pt>
                  <c:pt idx="3">
                    <c:v>Degré d'autofinancement</c:v>
                  </c:pt>
                  <c:pt idx="4">
                    <c:v>Taux d'autofinancement</c:v>
                  </c:pt>
                </c:lvl>
              </c:multiLvlStrCache>
            </c:multiLvlStrRef>
          </c:cat>
          <c:val>
            <c:numRef>
              <c:f>TBAF!$O$12:$O$16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8-42F8-903F-18ED2CAD8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241920"/>
        <c:axId val="635239624"/>
      </c:radarChart>
      <c:catAx>
        <c:axId val="63524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 algn="ctr" rtl="0">
              <a:defRPr lang="en-US" sz="900" b="0" i="1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35239624"/>
        <c:crosses val="autoZero"/>
        <c:auto val="1"/>
        <c:lblAlgn val="ctr"/>
        <c:lblOffset val="100"/>
        <c:noMultiLvlLbl val="0"/>
      </c:catAx>
      <c:valAx>
        <c:axId val="635239624"/>
        <c:scaling>
          <c:orientation val="maxMin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524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CH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CH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rPr>
              <a:t>Couverture des domaines autofinancés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CH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TBAF!$K$19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TBAF!$S$18</c:f>
              <c:strCache>
                <c:ptCount val="1"/>
                <c:pt idx="0">
                  <c:v>Moyenne</c:v>
                </c:pt>
              </c:strCache>
            </c:strRef>
          </c:cat>
          <c:val>
            <c:numRef>
              <c:f>TBAF!$S$19</c:f>
              <c:numCache>
                <c:formatCode>0.00%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D-47A0-B903-72EA580D4624}"/>
            </c:ext>
          </c:extLst>
        </c:ser>
        <c:ser>
          <c:idx val="0"/>
          <c:order val="1"/>
          <c:tx>
            <c:strRef>
              <c:f>TBAF!$K$20</c:f>
              <c:strCache>
                <c:ptCount val="1"/>
                <c:pt idx="0">
                  <c:v>45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TBAF!$S$18</c:f>
              <c:strCache>
                <c:ptCount val="1"/>
                <c:pt idx="0">
                  <c:v>Moyenne</c:v>
                </c:pt>
              </c:strCache>
            </c:strRef>
          </c:cat>
          <c:val>
            <c:numRef>
              <c:f>TBAF!$S$20</c:f>
              <c:numCache>
                <c:formatCode>0.00%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D-47A0-B903-72EA580D4624}"/>
            </c:ext>
          </c:extLst>
        </c:ser>
        <c:ser>
          <c:idx val="1"/>
          <c:order val="2"/>
          <c:tx>
            <c:strRef>
              <c:f>TBAF!$K$21</c:f>
              <c:strCache>
                <c:ptCount val="1"/>
                <c:pt idx="0">
                  <c:v>46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TBAF!$S$18</c:f>
              <c:strCache>
                <c:ptCount val="1"/>
                <c:pt idx="0">
                  <c:v>Moyenne</c:v>
                </c:pt>
              </c:strCache>
            </c:strRef>
          </c:cat>
          <c:val>
            <c:numRef>
              <c:f>TBAF!$S$21</c:f>
              <c:numCache>
                <c:formatCode>0.00%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D-47A0-B903-72EA580D4624}"/>
            </c:ext>
          </c:extLst>
        </c:ser>
        <c:ser>
          <c:idx val="3"/>
          <c:order val="3"/>
          <c:tx>
            <c:strRef>
              <c:f>TBAF!$K$22</c:f>
              <c:strCache>
                <c:ptCount val="1"/>
                <c:pt idx="0">
                  <c:v>81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TBAF!$S$18</c:f>
              <c:strCache>
                <c:ptCount val="1"/>
                <c:pt idx="0">
                  <c:v>Moyenne</c:v>
                </c:pt>
              </c:strCache>
            </c:strRef>
          </c:cat>
          <c:val>
            <c:numRef>
              <c:f>TBAF!$S$22</c:f>
              <c:numCache>
                <c:formatCode>0.00%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D-47A0-B903-72EA580D4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107712"/>
        <c:axId val="648108368"/>
      </c:lineChart>
      <c:catAx>
        <c:axId val="64810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1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48108368"/>
        <c:crosses val="autoZero"/>
        <c:auto val="1"/>
        <c:lblAlgn val="ctr"/>
        <c:lblOffset val="100"/>
        <c:noMultiLvlLbl val="0"/>
      </c:catAx>
      <c:valAx>
        <c:axId val="64810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481077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fr-CH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CH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rPr>
              <a:t>Quotité de la dette brute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89391349017152"/>
          <c:y val="0.16169656297880131"/>
          <c:w val="0.43860033550852018"/>
          <c:h val="0.8136387933871253"/>
        </c:manualLayout>
      </c:layout>
      <c:doughnutChart>
        <c:varyColors val="1"/>
        <c:ser>
          <c:idx val="0"/>
          <c:order val="0"/>
          <c:tx>
            <c:strRef>
              <c:f>TBAF!$V$19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808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E53-4A52-B774-B53F9E227C1C}"/>
              </c:ext>
            </c:extLst>
          </c:dPt>
          <c:dPt>
            <c:idx val="1"/>
            <c:bubble3D val="0"/>
            <c:spPr>
              <a:noFill/>
              <a:ln>
                <a:solidFill>
                  <a:srgbClr val="808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E53-4A52-B774-B53F9E227C1C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2E53-4A52-B774-B53F9E227C1C}"/>
              </c:ext>
            </c:extLst>
          </c:dPt>
          <c:val>
            <c:numRef>
              <c:f>TBAF!$V$20:$V$26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53-4A52-B774-B53F9E227C1C}"/>
            </c:ext>
          </c:extLst>
        </c:ser>
        <c:ser>
          <c:idx val="1"/>
          <c:order val="1"/>
          <c:tx>
            <c:strRef>
              <c:f>TBAF!$W$19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  <a:ln>
                <a:solidFill>
                  <a:srgbClr val="808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E53-4A52-B774-B53F9E227C1C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rgbClr val="808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2E53-4A52-B774-B53F9E227C1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>
                <a:solidFill>
                  <a:srgbClr val="808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2E53-4A52-B774-B53F9E227C1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solidFill>
                  <a:srgbClr val="808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2E53-4A52-B774-B53F9E227C1C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solidFill>
                  <a:srgbClr val="808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2E53-4A52-B774-B53F9E227C1C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>
                <a:solidFill>
                  <a:srgbClr val="808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2E53-4A52-B774-B53F9E227C1C}"/>
              </c:ext>
            </c:extLst>
          </c:dPt>
          <c:dPt>
            <c:idx val="6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2E53-4A52-B774-B53F9E227C1C}"/>
              </c:ext>
            </c:extLst>
          </c:dPt>
          <c:val>
            <c:numRef>
              <c:f>TBAF!$W$20:$W$26</c:f>
              <c:numCache>
                <c:formatCode>0%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E53-4A52-B774-B53F9E227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bg2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>
      <c:oddFooter>&amp;L&amp;8Fichier d'analyse réalisé par l'UCV
conseils@ucv.ch&amp;C&amp;G</c:oddFooter>
    </c:headerFooter>
    <c:pageMargins b="0.750000000000001" l="0.70000000000000062" r="0.70000000000000062" t="0.750000000000001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CH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CH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rPr>
              <a:t>Plafond d'endettement - CEE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CH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TBAF!$M$28</c:f>
              <c:strCache>
                <c:ptCount val="1"/>
                <c:pt idx="0">
                  <c:v>#DIV/0!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TBAF!$N$28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E-45CD-96B6-902C5ABD5D80}"/>
            </c:ext>
          </c:extLst>
        </c:ser>
        <c:ser>
          <c:idx val="2"/>
          <c:order val="1"/>
          <c:tx>
            <c:strRef>
              <c:f>TBAF!$M$27</c:f>
              <c:strCache>
                <c:ptCount val="1"/>
                <c:pt idx="0">
                  <c:v>#DIV/0!</c:v>
                </c:pt>
              </c:strCache>
            </c:strRef>
          </c:tx>
          <c:spPr>
            <a:noFill/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TBAF!$N$27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5CD-96B6-902C5ABD5D80}"/>
            </c:ext>
          </c:extLst>
        </c:ser>
        <c:ser>
          <c:idx val="1"/>
          <c:order val="2"/>
          <c:tx>
            <c:strRef>
              <c:f>TBAF!$M$26</c:f>
              <c:strCache>
                <c:ptCount val="1"/>
                <c:pt idx="0">
                  <c:v>#DIV/0!</c:v>
                </c:pt>
              </c:strCache>
            </c:strRef>
          </c:tx>
          <c:spPr>
            <a:noFill/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TBAF!$N$26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E-45CD-96B6-902C5ABD5D80}"/>
            </c:ext>
          </c:extLst>
        </c:ser>
        <c:ser>
          <c:idx val="0"/>
          <c:order val="3"/>
          <c:tx>
            <c:strRef>
              <c:f>TBAF!$M$25</c:f>
              <c:strCache>
                <c:ptCount val="1"/>
                <c:pt idx="0">
                  <c:v>#DIV/0!</c:v>
                </c:pt>
              </c:strCache>
            </c:strRef>
          </c:tx>
          <c:spPr>
            <a:noFill/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TBAF!$N$25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E-45CD-96B6-902C5ABD5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4459112"/>
        <c:axId val="684464360"/>
      </c:barChart>
      <c:catAx>
        <c:axId val="684459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84464360"/>
        <c:crosses val="autoZero"/>
        <c:auto val="1"/>
        <c:lblAlgn val="ctr"/>
        <c:lblOffset val="100"/>
        <c:noMultiLvlLbl val="0"/>
      </c:catAx>
      <c:valAx>
        <c:axId val="68446436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8445911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algn="ctr" rtl="0">
                  <a:defRPr lang="fr-CH" sz="9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 Narrow" panose="020B0606020202030204" pitchFamily="34" charset="0"/>
                <a:ea typeface="+mn-ea"/>
                <a:cs typeface="+mn-cs"/>
              </a:rPr>
              <a:t>Couverture des réserves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spPr>
            <a:solidFill>
              <a:srgbClr val="FF9999"/>
            </a:solidFill>
            <a:ln w="25400">
              <a:noFill/>
            </a:ln>
            <a:effectLst/>
          </c:spPr>
          <c:invertIfNegative val="0"/>
          <c:val>
            <c:numRef>
              <c:f>TBAF!$R$26</c:f>
              <c:numCache>
                <c:formatCode>General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2-4C22-8ADA-F4D53DF0FD35}"/>
            </c:ext>
          </c:extLst>
        </c:ser>
        <c:ser>
          <c:idx val="2"/>
          <c:order val="2"/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val>
            <c:numRef>
              <c:f>TBAF!$R$27</c:f>
              <c:numCache>
                <c:formatCode>General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72-4C22-8ADA-F4D53DF0FD35}"/>
            </c:ext>
          </c:extLst>
        </c:ser>
        <c:ser>
          <c:idx val="3"/>
          <c:order val="3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TBAF!$R$28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72-4C22-8ADA-F4D53DF0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2628640"/>
        <c:axId val="862630608"/>
      </c:barChart>
      <c:scatterChart>
        <c:scatterStyle val="lineMarker"/>
        <c:varyColors val="0"/>
        <c:ser>
          <c:idx val="0"/>
          <c:order val="0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yVal>
            <c:numRef>
              <c:f>TBAF!$R$25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2-4C22-8ADA-F4D53DF0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628640"/>
        <c:axId val="862630608"/>
      </c:scatterChart>
      <c:catAx>
        <c:axId val="8626286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862630608"/>
        <c:crosses val="autoZero"/>
        <c:auto val="1"/>
        <c:lblAlgn val="ctr"/>
        <c:lblOffset val="100"/>
        <c:tickMarkSkip val="1"/>
        <c:noMultiLvlLbl val="0"/>
      </c:catAx>
      <c:valAx>
        <c:axId val="86263060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8626286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L$4" lockText="1" noThreeD="1"/>
</file>

<file path=xl/ctrlProps/ctrlProp10.xml><?xml version="1.0" encoding="utf-8"?>
<formControlPr xmlns="http://schemas.microsoft.com/office/spreadsheetml/2009/9/main" objectType="CheckBox" fmlaLink="$L$13" lockText="1" noThreeD="1"/>
</file>

<file path=xl/ctrlProps/ctrlProp11.xml><?xml version="1.0" encoding="utf-8"?>
<formControlPr xmlns="http://schemas.microsoft.com/office/spreadsheetml/2009/9/main" objectType="CheckBox" checked="Checked" fmlaLink="$L$14" lockText="1" noThreeD="1"/>
</file>

<file path=xl/ctrlProps/ctrlProp12.xml><?xml version="1.0" encoding="utf-8"?>
<formControlPr xmlns="http://schemas.microsoft.com/office/spreadsheetml/2009/9/main" objectType="CheckBox" checked="Checked" fmlaLink="$L$15" lockText="1" noThreeD="1"/>
</file>

<file path=xl/ctrlProps/ctrlProp13.xml><?xml version="1.0" encoding="utf-8"?>
<formControlPr xmlns="http://schemas.microsoft.com/office/spreadsheetml/2009/9/main" objectType="CheckBox" checked="Checked" fmlaLink="$L$16" lockText="1" noThreeD="1"/>
</file>

<file path=xl/ctrlProps/ctrlProp14.xml><?xml version="1.0" encoding="utf-8"?>
<formControlPr xmlns="http://schemas.microsoft.com/office/spreadsheetml/2009/9/main" objectType="CheckBox" fmlaLink="$L$17" lockText="1" noThreeD="1"/>
</file>

<file path=xl/ctrlProps/ctrlProp15.xml><?xml version="1.0" encoding="utf-8"?>
<formControlPr xmlns="http://schemas.microsoft.com/office/spreadsheetml/2009/9/main" objectType="CheckBox" checked="Checked" fmlaLink="$L$18" lockText="1" noThreeD="1"/>
</file>

<file path=xl/ctrlProps/ctrlProp16.xml><?xml version="1.0" encoding="utf-8"?>
<formControlPr xmlns="http://schemas.microsoft.com/office/spreadsheetml/2009/9/main" objectType="CheckBox" checked="Checked" fmlaLink="$L$22" lockText="1" noThreeD="1"/>
</file>

<file path=xl/ctrlProps/ctrlProp17.xml><?xml version="1.0" encoding="utf-8"?>
<formControlPr xmlns="http://schemas.microsoft.com/office/spreadsheetml/2009/9/main" objectType="CheckBox" fmlaLink="$L$23" lockText="1" noThreeD="1"/>
</file>

<file path=xl/ctrlProps/ctrlProp18.xml><?xml version="1.0" encoding="utf-8"?>
<formControlPr xmlns="http://schemas.microsoft.com/office/spreadsheetml/2009/9/main" objectType="CheckBox" checked="Checked" fmlaLink="$L$25" lockText="1" noThreeD="1"/>
</file>

<file path=xl/ctrlProps/ctrlProp19.xml><?xml version="1.0" encoding="utf-8"?>
<formControlPr xmlns="http://schemas.microsoft.com/office/spreadsheetml/2009/9/main" objectType="CheckBox" fmlaLink="$L$27" lockText="1" noThreeD="1"/>
</file>

<file path=xl/ctrlProps/ctrlProp2.xml><?xml version="1.0" encoding="utf-8"?>
<formControlPr xmlns="http://schemas.microsoft.com/office/spreadsheetml/2009/9/main" objectType="CheckBox" checked="Checked" fmlaLink="$L$5" lockText="1" noThreeD="1"/>
</file>

<file path=xl/ctrlProps/ctrlProp20.xml><?xml version="1.0" encoding="utf-8"?>
<formControlPr xmlns="http://schemas.microsoft.com/office/spreadsheetml/2009/9/main" objectType="CheckBox" fmlaLink="$L$29" lockText="1" noThreeD="1"/>
</file>

<file path=xl/ctrlProps/ctrlProp21.xml><?xml version="1.0" encoding="utf-8"?>
<formControlPr xmlns="http://schemas.microsoft.com/office/spreadsheetml/2009/9/main" objectType="CheckBox" checked="Checked" fmlaLink="$L$30" lockText="1" noThreeD="1"/>
</file>

<file path=xl/ctrlProps/ctrlProp22.xml><?xml version="1.0" encoding="utf-8"?>
<formControlPr xmlns="http://schemas.microsoft.com/office/spreadsheetml/2009/9/main" objectType="CheckBox" checked="Checked" fmlaLink="$L$26" lockText="1" noThreeD="1"/>
</file>

<file path=xl/ctrlProps/ctrlProp23.xml><?xml version="1.0" encoding="utf-8"?>
<formControlPr xmlns="http://schemas.microsoft.com/office/spreadsheetml/2009/9/main" objectType="CheckBox" checked="Checked" fmlaLink="$L$32" lockText="1" noThreeD="1"/>
</file>

<file path=xl/ctrlProps/ctrlProp24.xml><?xml version="1.0" encoding="utf-8"?>
<formControlPr xmlns="http://schemas.microsoft.com/office/spreadsheetml/2009/9/main" objectType="CheckBox" checked="Checked" fmlaLink="$L$34" lockText="1" noThreeD="1"/>
</file>

<file path=xl/ctrlProps/ctrlProp25.xml><?xml version="1.0" encoding="utf-8"?>
<formControlPr xmlns="http://schemas.microsoft.com/office/spreadsheetml/2009/9/main" objectType="CheckBox" checked="Checked" fmlaLink="$L$35" lockText="1" noThreeD="1"/>
</file>

<file path=xl/ctrlProps/ctrlProp26.xml><?xml version="1.0" encoding="utf-8"?>
<formControlPr xmlns="http://schemas.microsoft.com/office/spreadsheetml/2009/9/main" objectType="CheckBox" fmlaLink="$L$28" lockText="1" noThreeD="1"/>
</file>

<file path=xl/ctrlProps/ctrlProp27.xml><?xml version="1.0" encoding="utf-8"?>
<formControlPr xmlns="http://schemas.microsoft.com/office/spreadsheetml/2009/9/main" objectType="CheckBox" fmlaLink="$L$36" lockText="1" noThreeD="1"/>
</file>

<file path=xl/ctrlProps/ctrlProp28.xml><?xml version="1.0" encoding="utf-8"?>
<formControlPr xmlns="http://schemas.microsoft.com/office/spreadsheetml/2009/9/main" objectType="CheckBox" fmlaLink="$L$24" lockText="1" noThreeD="1"/>
</file>

<file path=xl/ctrlProps/ctrlProp29.xml><?xml version="1.0" encoding="utf-8"?>
<formControlPr xmlns="http://schemas.microsoft.com/office/spreadsheetml/2009/9/main" objectType="CheckBox" fmlaLink="$L$31" lockText="1" noThreeD="1"/>
</file>

<file path=xl/ctrlProps/ctrlProp3.xml><?xml version="1.0" encoding="utf-8"?>
<formControlPr xmlns="http://schemas.microsoft.com/office/spreadsheetml/2009/9/main" objectType="CheckBox" checked="Checked" fmlaLink="$L$6" lockText="1" noThreeD="1"/>
</file>

<file path=xl/ctrlProps/ctrlProp30.xml><?xml version="1.0" encoding="utf-8"?>
<formControlPr xmlns="http://schemas.microsoft.com/office/spreadsheetml/2009/9/main" objectType="CheckBox" checked="Checked" fmlaLink="$L$33" lockText="1" noThreeD="1"/>
</file>

<file path=xl/ctrlProps/ctrlProp31.xml><?xml version="1.0" encoding="utf-8"?>
<formControlPr xmlns="http://schemas.microsoft.com/office/spreadsheetml/2009/9/main" objectType="CheckBox" checked="Checked" fmlaLink="$L$37" lockText="1" noThreeD="1"/>
</file>

<file path=xl/ctrlProps/ctrlProp4.xml><?xml version="1.0" encoding="utf-8"?>
<formControlPr xmlns="http://schemas.microsoft.com/office/spreadsheetml/2009/9/main" objectType="CheckBox" fmlaLink="$L$7" lockText="1" noThreeD="1"/>
</file>

<file path=xl/ctrlProps/ctrlProp5.xml><?xml version="1.0" encoding="utf-8"?>
<formControlPr xmlns="http://schemas.microsoft.com/office/spreadsheetml/2009/9/main" objectType="CheckBox" fmlaLink="$L$8" lockText="1" noThreeD="1"/>
</file>

<file path=xl/ctrlProps/ctrlProp6.xml><?xml version="1.0" encoding="utf-8"?>
<formControlPr xmlns="http://schemas.microsoft.com/office/spreadsheetml/2009/9/main" objectType="CheckBox" checked="Checked" fmlaLink="$L$9" lockText="1" noThreeD="1"/>
</file>

<file path=xl/ctrlProps/ctrlProp7.xml><?xml version="1.0" encoding="utf-8"?>
<formControlPr xmlns="http://schemas.microsoft.com/office/spreadsheetml/2009/9/main" objectType="CheckBox" fmlaLink="$L$10" lockText="1" noThreeD="1"/>
</file>

<file path=xl/ctrlProps/ctrlProp8.xml><?xml version="1.0" encoding="utf-8"?>
<formControlPr xmlns="http://schemas.microsoft.com/office/spreadsheetml/2009/9/main" objectType="CheckBox" fmlaLink="$L$11" lockText="1" noThreeD="1"/>
</file>

<file path=xl/ctrlProps/ctrlProp9.xml><?xml version="1.0" encoding="utf-8"?>
<formControlPr xmlns="http://schemas.microsoft.com/office/spreadsheetml/2009/9/main" objectType="CheckBox" fmlaLink="$L$1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29</xdr:col>
      <xdr:colOff>0</xdr:colOff>
      <xdr:row>18</xdr:row>
      <xdr:rowOff>161925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2378</xdr:colOff>
      <xdr:row>20</xdr:row>
      <xdr:rowOff>0</xdr:rowOff>
    </xdr:from>
    <xdr:to>
      <xdr:col>28</xdr:col>
      <xdr:colOff>581024</xdr:colOff>
      <xdr:row>41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</xdr:row>
          <xdr:rowOff>123825</xdr:rowOff>
        </xdr:from>
        <xdr:to>
          <xdr:col>15</xdr:col>
          <xdr:colOff>314325</xdr:colOff>
          <xdr:row>4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30 Autorités et personnel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</xdr:row>
          <xdr:rowOff>142875</xdr:rowOff>
        </xdr:from>
        <xdr:to>
          <xdr:col>16</xdr:col>
          <xdr:colOff>28575</xdr:colOff>
          <xdr:row>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31 Biens, services, marchandises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</xdr:row>
          <xdr:rowOff>133350</xdr:rowOff>
        </xdr:from>
        <xdr:to>
          <xdr:col>15</xdr:col>
          <xdr:colOff>438150</xdr:colOff>
          <xdr:row>6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32 Intérêts passifs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</xdr:row>
          <xdr:rowOff>133350</xdr:rowOff>
        </xdr:from>
        <xdr:to>
          <xdr:col>15</xdr:col>
          <xdr:colOff>428625</xdr:colOff>
          <xdr:row>7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321 Intérêts des dettes à court terme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</xdr:row>
          <xdr:rowOff>142875</xdr:rowOff>
        </xdr:from>
        <xdr:to>
          <xdr:col>16</xdr:col>
          <xdr:colOff>76200</xdr:colOff>
          <xdr:row>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322 Intérêts des dettes à moyen et long terme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</xdr:row>
          <xdr:rowOff>0</xdr:rowOff>
        </xdr:from>
        <xdr:to>
          <xdr:col>15</xdr:col>
          <xdr:colOff>504825</xdr:colOff>
          <xdr:row>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33 Amortissements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</xdr:row>
          <xdr:rowOff>133350</xdr:rowOff>
        </xdr:from>
        <xdr:to>
          <xdr:col>17</xdr:col>
          <xdr:colOff>104775</xdr:colOff>
          <xdr:row>10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330 Amortissements du patrimoine financier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9</xdr:row>
          <xdr:rowOff>142875</xdr:rowOff>
        </xdr:from>
        <xdr:to>
          <xdr:col>19</xdr:col>
          <xdr:colOff>0</xdr:colOff>
          <xdr:row>11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331 Amortissements obligatoires du patrimoine administratif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11</xdr:row>
          <xdr:rowOff>0</xdr:rowOff>
        </xdr:from>
        <xdr:to>
          <xdr:col>18</xdr:col>
          <xdr:colOff>142875</xdr:colOff>
          <xdr:row>12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332 Autres amortissements du patrimoine administratif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12</xdr:row>
          <xdr:rowOff>19050</xdr:rowOff>
        </xdr:from>
        <xdr:to>
          <xdr:col>17</xdr:col>
          <xdr:colOff>390525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333 Amortissement du découvert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</xdr:row>
          <xdr:rowOff>9525</xdr:rowOff>
        </xdr:from>
        <xdr:to>
          <xdr:col>18</xdr:col>
          <xdr:colOff>219075</xdr:colOff>
          <xdr:row>14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35 Remboursements, participations et subv.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</xdr:row>
          <xdr:rowOff>0</xdr:rowOff>
        </xdr:from>
        <xdr:to>
          <xdr:col>15</xdr:col>
          <xdr:colOff>371475</xdr:colOff>
          <xdr:row>15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36 Aides et subventions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</xdr:row>
          <xdr:rowOff>9525</xdr:rowOff>
        </xdr:from>
        <xdr:to>
          <xdr:col>18</xdr:col>
          <xdr:colOff>95250</xdr:colOff>
          <xdr:row>16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38 Attributions aux fonds et aux financements spéciaux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</xdr:row>
          <xdr:rowOff>142875</xdr:rowOff>
        </xdr:from>
        <xdr:to>
          <xdr:col>17</xdr:col>
          <xdr:colOff>333375</xdr:colOff>
          <xdr:row>17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381 Attributions aux financements spéciaux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16</xdr:row>
          <xdr:rowOff>133350</xdr:rowOff>
        </xdr:from>
        <xdr:to>
          <xdr:col>15</xdr:col>
          <xdr:colOff>438150</xdr:colOff>
          <xdr:row>18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39 Imputations internes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20</xdr:row>
          <xdr:rowOff>142875</xdr:rowOff>
        </xdr:from>
        <xdr:to>
          <xdr:col>14</xdr:col>
          <xdr:colOff>133350</xdr:colOff>
          <xdr:row>22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40 Impôts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0</xdr:rowOff>
        </xdr:from>
        <xdr:to>
          <xdr:col>17</xdr:col>
          <xdr:colOff>152400</xdr:colOff>
          <xdr:row>23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400 Impôts sur le revenu et la fortune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23</xdr:row>
          <xdr:rowOff>142875</xdr:rowOff>
        </xdr:from>
        <xdr:to>
          <xdr:col>15</xdr:col>
          <xdr:colOff>342900</xdr:colOff>
          <xdr:row>25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41 Patentes, concessions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25</xdr:row>
          <xdr:rowOff>142875</xdr:rowOff>
        </xdr:from>
        <xdr:to>
          <xdr:col>16</xdr:col>
          <xdr:colOff>38100</xdr:colOff>
          <xdr:row>27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424 Gains comptables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27</xdr:row>
          <xdr:rowOff>142875</xdr:rowOff>
        </xdr:from>
        <xdr:to>
          <xdr:col>17</xdr:col>
          <xdr:colOff>266700</xdr:colOff>
          <xdr:row>29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427 Revenus des immeubles du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28</xdr:row>
          <xdr:rowOff>142875</xdr:rowOff>
        </xdr:from>
        <xdr:to>
          <xdr:col>17</xdr:col>
          <xdr:colOff>257175</xdr:colOff>
          <xdr:row>30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43 Taxes, émoluments, produits des ventes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25</xdr:row>
          <xdr:rowOff>0</xdr:rowOff>
        </xdr:from>
        <xdr:to>
          <xdr:col>16</xdr:col>
          <xdr:colOff>419100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42 Revenus du patrimoine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30</xdr:row>
          <xdr:rowOff>142875</xdr:rowOff>
        </xdr:from>
        <xdr:to>
          <xdr:col>21</xdr:col>
          <xdr:colOff>190500</xdr:colOff>
          <xdr:row>32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44 Parts à des recettes cantonales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33</xdr:row>
          <xdr:rowOff>0</xdr:rowOff>
        </xdr:from>
        <xdr:to>
          <xdr:col>17</xdr:col>
          <xdr:colOff>152400</xdr:colOff>
          <xdr:row>34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46 Autres prestations et subventions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33</xdr:row>
          <xdr:rowOff>142875</xdr:rowOff>
        </xdr:from>
        <xdr:to>
          <xdr:col>18</xdr:col>
          <xdr:colOff>95250</xdr:colOff>
          <xdr:row>35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48 Prélèvements sur les fonds et financements spéciaux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26</xdr:row>
          <xdr:rowOff>142875</xdr:rowOff>
        </xdr:from>
        <xdr:to>
          <xdr:col>17</xdr:col>
          <xdr:colOff>247650</xdr:colOff>
          <xdr:row>28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425 Revenus des prêts et participations du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34</xdr:row>
          <xdr:rowOff>142875</xdr:rowOff>
        </xdr:from>
        <xdr:to>
          <xdr:col>18</xdr:col>
          <xdr:colOff>400050</xdr:colOff>
          <xdr:row>36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481 Prélèvements sur les financements spéciaux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133350</xdr:rowOff>
        </xdr:from>
        <xdr:to>
          <xdr:col>17</xdr:col>
          <xdr:colOff>342900</xdr:colOff>
          <xdr:row>24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401 Impôts sur le bénéfice et le capital PM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29</xdr:row>
          <xdr:rowOff>133350</xdr:rowOff>
        </xdr:from>
        <xdr:to>
          <xdr:col>17</xdr:col>
          <xdr:colOff>47625</xdr:colOff>
          <xdr:row>31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431 Émoluments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31</xdr:row>
          <xdr:rowOff>133350</xdr:rowOff>
        </xdr:from>
        <xdr:to>
          <xdr:col>17</xdr:col>
          <xdr:colOff>171450</xdr:colOff>
          <xdr:row>33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45 Participations et remboursements de collectivités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35</xdr:row>
          <xdr:rowOff>142875</xdr:rowOff>
        </xdr:from>
        <xdr:to>
          <xdr:col>17</xdr:col>
          <xdr:colOff>400050</xdr:colOff>
          <xdr:row>37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49 Imputations internes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31751</xdr:rowOff>
    </xdr:from>
    <xdr:to>
      <xdr:col>2</xdr:col>
      <xdr:colOff>476250</xdr:colOff>
      <xdr:row>32</xdr:row>
      <xdr:rowOff>79376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611188</xdr:colOff>
      <xdr:row>21</xdr:row>
      <xdr:rowOff>31751</xdr:rowOff>
    </xdr:from>
    <xdr:to>
      <xdr:col>8</xdr:col>
      <xdr:colOff>778932</xdr:colOff>
      <xdr:row>32</xdr:row>
      <xdr:rowOff>87313</xdr:rowOff>
    </xdr:to>
    <xdr:graphicFrame macro="">
      <xdr:nvGraphicFramePr>
        <xdr:cNvPr id="5" name="Graphiqu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3618415</xdr:colOff>
      <xdr:row>35</xdr:row>
      <xdr:rowOff>9526</xdr:rowOff>
    </xdr:from>
    <xdr:to>
      <xdr:col>8</xdr:col>
      <xdr:colOff>721517</xdr:colOff>
      <xdr:row>58</xdr:row>
      <xdr:rowOff>27460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714375</xdr:colOff>
      <xdr:row>58</xdr:row>
      <xdr:rowOff>75140</xdr:rowOff>
    </xdr:from>
    <xdr:to>
      <xdr:col>3</xdr:col>
      <xdr:colOff>793749</xdr:colOff>
      <xdr:row>74</xdr:row>
      <xdr:rowOff>127000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56091</xdr:colOff>
      <xdr:row>58</xdr:row>
      <xdr:rowOff>73026</xdr:rowOff>
    </xdr:from>
    <xdr:to>
      <xdr:col>1</xdr:col>
      <xdr:colOff>666750</xdr:colOff>
      <xdr:row>74</xdr:row>
      <xdr:rowOff>119062</xdr:rowOff>
    </xdr:to>
    <xdr:graphicFrame macro="">
      <xdr:nvGraphicFramePr>
        <xdr:cNvPr id="7" name="Graphiqu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</xdr:colOff>
      <xdr:row>35</xdr:row>
      <xdr:rowOff>9525</xdr:rowOff>
    </xdr:from>
    <xdr:to>
      <xdr:col>0</xdr:col>
      <xdr:colOff>3581400</xdr:colOff>
      <xdr:row>58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795338</xdr:colOff>
      <xdr:row>58</xdr:row>
      <xdr:rowOff>80960</xdr:rowOff>
    </xdr:from>
    <xdr:to>
      <xdr:col>5</xdr:col>
      <xdr:colOff>627062</xdr:colOff>
      <xdr:row>74</xdr:row>
      <xdr:rowOff>126999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661987</xdr:colOff>
      <xdr:row>58</xdr:row>
      <xdr:rowOff>76206</xdr:rowOff>
    </xdr:from>
    <xdr:to>
      <xdr:col>8</xdr:col>
      <xdr:colOff>762000</xdr:colOff>
      <xdr:row>74</xdr:row>
      <xdr:rowOff>127000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0.4499</cdr:x>
      <cdr:y>0.4815</cdr:y>
    </cdr:from>
    <cdr:to>
      <cdr:x>0.57418</cdr:x>
      <cdr:y>0.57219</cdr:y>
    </cdr:to>
    <cdr:sp macro="" textlink="TBAF!$V$20">
      <cdr:nvSpPr>
        <cdr:cNvPr id="1327105" name="ZoneTexte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7030" y="1349252"/>
          <a:ext cx="529562" cy="254123"/>
        </a:xfrm>
        <a:prstGeom xmlns:a="http://schemas.openxmlformats.org/drawingml/2006/main" prst="rect">
          <a:avLst/>
        </a:prstGeom>
        <a:ln xmlns:a="http://schemas.openxmlformats.org/drawingml/2006/main" w="9525">
          <a:solidFill>
            <a:schemeClr val="tx1">
              <a:lumMod val="75000"/>
              <a:lumOff val="25000"/>
            </a:schemeClr>
          </a:solidFill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27432" tIns="22860" rIns="0" bIns="0" anchor="ctr" anchorCtr="0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2DC3BA1-C410-424C-8D48-B0BBA5B7F6F3}" type="TxLink">
            <a:rPr lang="en-US" sz="900" b="0" i="0" u="none" strike="noStrike">
              <a:ln w="0">
                <a:solidFill>
                  <a:schemeClr val="tx1">
                    <a:lumMod val="75000"/>
                    <a:lumOff val="25000"/>
                  </a:schemeClr>
                </a:solidFill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 Narrow" panose="020B0606020202030204" pitchFamily="34" charset="0"/>
              <a:ea typeface="Verdana"/>
              <a:cs typeface="Calibri"/>
            </a:rPr>
            <a:pPr algn="ctr" rtl="0">
              <a:defRPr sz="1000"/>
            </a:pPr>
            <a:t>#DIV/0!</a:t>
          </a:fld>
          <a:endParaRPr lang="fr-FR" sz="1050" b="0" i="0" strike="noStrike">
            <a:ln w="0">
              <a:solidFill>
                <a:schemeClr val="tx1">
                  <a:lumMod val="75000"/>
                  <a:lumOff val="25000"/>
                </a:schemeClr>
              </a:solidFill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Arial Narrow" panose="020B0606020202030204" pitchFamily="34" charset="0"/>
            <a:ea typeface="Calibri"/>
            <a:cs typeface="Calibri"/>
          </a:endParaRPr>
        </a:p>
      </cdr:txBody>
    </cdr:sp>
  </cdr:relSizeAnchor>
  <cdr:relSizeAnchor xmlns:cdr="http://schemas.openxmlformats.org/drawingml/2006/chartDrawing">
    <cdr:from>
      <cdr:x>0.20313</cdr:x>
      <cdr:y>0.38335</cdr:y>
    </cdr:from>
    <cdr:to>
      <cdr:x>0.29636</cdr:x>
      <cdr:y>0.45675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011100" y="978728"/>
          <a:ext cx="460972" cy="232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</a:rPr>
            <a:t>50 %</a:t>
          </a:r>
        </a:p>
      </cdr:txBody>
    </cdr:sp>
  </cdr:relSizeAnchor>
  <cdr:relSizeAnchor xmlns:cdr="http://schemas.openxmlformats.org/drawingml/2006/chartDrawing">
    <cdr:from>
      <cdr:x>0.29481</cdr:x>
      <cdr:y>0.6042</cdr:y>
    </cdr:from>
    <cdr:to>
      <cdr:x>0.80435</cdr:x>
      <cdr:y>0.67998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465538" y="1676180"/>
          <a:ext cx="2551443" cy="239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100" b="0" i="0" strike="noStrike" baseline="0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  <a:ea typeface="Calibri"/>
              <a:cs typeface="Calibri"/>
            </a:rPr>
            <a:t>Très bon	Moyen	Critique</a:t>
          </a:r>
        </a:p>
        <a:p xmlns:a="http://schemas.openxmlformats.org/drawingml/2006/main">
          <a:pPr algn="l" rtl="0">
            <a:defRPr sz="1000"/>
          </a:pPr>
          <a:r>
            <a:rPr lang="fr-FR" sz="11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Moyen</a:t>
          </a:r>
        </a:p>
      </cdr:txBody>
    </cdr:sp>
  </cdr:relSizeAnchor>
  <cdr:relSizeAnchor xmlns:cdr="http://schemas.openxmlformats.org/drawingml/2006/chartDrawing">
    <cdr:from>
      <cdr:x>0.26785</cdr:x>
      <cdr:y>0.62846</cdr:y>
    </cdr:from>
    <cdr:to>
      <cdr:x>0.29858</cdr:x>
      <cdr:y>0.66885</cdr:y>
    </cdr:to>
    <cdr:sp macro="" textlink="">
      <cdr:nvSpPr>
        <cdr:cNvPr id="6" name="Rectangle à coins arrondis 5"/>
        <cdr:cNvSpPr/>
      </cdr:nvSpPr>
      <cdr:spPr>
        <a:xfrm xmlns:a="http://schemas.openxmlformats.org/drawingml/2006/main">
          <a:off x="1226922" y="1739785"/>
          <a:ext cx="140763" cy="111812"/>
        </a:xfrm>
        <a:prstGeom xmlns:a="http://schemas.openxmlformats.org/drawingml/2006/main" prst="roundRect">
          <a:avLst/>
        </a:prstGeom>
        <a:solidFill xmlns:a="http://schemas.openxmlformats.org/drawingml/2006/main">
          <a:srgbClr val="00B050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CH"/>
        </a:p>
      </cdr:txBody>
    </cdr:sp>
  </cdr:relSizeAnchor>
  <cdr:relSizeAnchor xmlns:cdr="http://schemas.openxmlformats.org/drawingml/2006/chartDrawing">
    <cdr:from>
      <cdr:x>0.66451</cdr:x>
      <cdr:y>0.63159</cdr:y>
    </cdr:from>
    <cdr:to>
      <cdr:x>0.69229</cdr:x>
      <cdr:y>0.67198</cdr:y>
    </cdr:to>
    <cdr:sp macro="" textlink="">
      <cdr:nvSpPr>
        <cdr:cNvPr id="7" name="Rectangle à coins arrondis 6"/>
        <cdr:cNvSpPr/>
      </cdr:nvSpPr>
      <cdr:spPr>
        <a:xfrm xmlns:a="http://schemas.openxmlformats.org/drawingml/2006/main">
          <a:off x="3043909" y="1748444"/>
          <a:ext cx="127251" cy="111812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ap="flat" cmpd="sng" algn="ctr">
          <a:solidFill>
            <a:schemeClr val="tx1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CH"/>
        </a:p>
      </cdr:txBody>
    </cdr:sp>
  </cdr:relSizeAnchor>
  <cdr:relSizeAnchor xmlns:cdr="http://schemas.openxmlformats.org/drawingml/2006/chartDrawing">
    <cdr:from>
      <cdr:x>0.47427</cdr:x>
      <cdr:y>0.63159</cdr:y>
    </cdr:from>
    <cdr:to>
      <cdr:x>0.49716</cdr:x>
      <cdr:y>0.67198</cdr:y>
    </cdr:to>
    <cdr:sp macro="" textlink="">
      <cdr:nvSpPr>
        <cdr:cNvPr id="8" name="Rectangle à coins arrondis 7"/>
        <cdr:cNvSpPr/>
      </cdr:nvSpPr>
      <cdr:spPr>
        <a:xfrm xmlns:a="http://schemas.openxmlformats.org/drawingml/2006/main">
          <a:off x="2172453" y="1748443"/>
          <a:ext cx="104852" cy="111812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00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CH"/>
        </a:p>
      </cdr:txBody>
    </cdr:sp>
  </cdr:relSizeAnchor>
  <cdr:relSizeAnchor xmlns:cdr="http://schemas.openxmlformats.org/drawingml/2006/chartDrawing">
    <cdr:from>
      <cdr:x>0.73749</cdr:x>
      <cdr:y>0.4845</cdr:y>
    </cdr:from>
    <cdr:to>
      <cdr:x>0.86794</cdr:x>
      <cdr:y>0.55957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3688676" y="1297659"/>
          <a:ext cx="642769" cy="237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</a:rPr>
            <a:t>500 %</a:t>
          </a:r>
        </a:p>
      </cdr:txBody>
    </cdr:sp>
  </cdr:relSizeAnchor>
  <cdr:relSizeAnchor xmlns:cdr="http://schemas.openxmlformats.org/drawingml/2006/chartDrawing">
    <cdr:from>
      <cdr:x>0.22219</cdr:x>
      <cdr:y>0.28176</cdr:y>
    </cdr:from>
    <cdr:to>
      <cdr:x>0.33122</cdr:x>
      <cdr:y>0.35442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1104889" y="657312"/>
          <a:ext cx="544545" cy="230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</a:rPr>
            <a:t>100 %</a:t>
          </a:r>
        </a:p>
      </cdr:txBody>
    </cdr:sp>
  </cdr:relSizeAnchor>
  <cdr:relSizeAnchor xmlns:cdr="http://schemas.openxmlformats.org/drawingml/2006/chartDrawing">
    <cdr:from>
      <cdr:x>0.26455</cdr:x>
      <cdr:y>0.18961</cdr:y>
    </cdr:from>
    <cdr:to>
      <cdr:x>0.35694</cdr:x>
      <cdr:y>0.25726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1207915" y="531333"/>
          <a:ext cx="421838" cy="189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</a:rPr>
            <a:t>150 %</a:t>
          </a:r>
        </a:p>
      </cdr:txBody>
    </cdr:sp>
  </cdr:relSizeAnchor>
  <cdr:relSizeAnchor xmlns:cdr="http://schemas.openxmlformats.org/drawingml/2006/chartDrawing">
    <cdr:from>
      <cdr:x>0.36286</cdr:x>
      <cdr:y>0.11469</cdr:y>
    </cdr:from>
    <cdr:to>
      <cdr:x>0.4376</cdr:x>
      <cdr:y>0.21167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1656751" y="321392"/>
          <a:ext cx="341251" cy="271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</a:rPr>
            <a:t>200 %</a:t>
          </a:r>
        </a:p>
      </cdr:txBody>
    </cdr:sp>
  </cdr:relSizeAnchor>
  <cdr:relSizeAnchor xmlns:cdr="http://schemas.openxmlformats.org/drawingml/2006/chartDrawing">
    <cdr:from>
      <cdr:x>0.57095</cdr:x>
      <cdr:y>0.10794</cdr:y>
    </cdr:from>
    <cdr:to>
      <cdr:x>0.64863</cdr:x>
      <cdr:y>0.2018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2606885" y="302458"/>
          <a:ext cx="354675" cy="263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</a:rPr>
            <a:t>300 %</a:t>
          </a:r>
        </a:p>
      </cdr:txBody>
    </cdr:sp>
  </cdr:relSizeAnchor>
  <cdr:relSizeAnchor xmlns:cdr="http://schemas.openxmlformats.org/drawingml/2006/chartDrawing">
    <cdr:from>
      <cdr:x>0.29488</cdr:x>
      <cdr:y>0.67474</cdr:y>
    </cdr:from>
    <cdr:to>
      <cdr:x>0.80369</cdr:x>
      <cdr:y>0.74837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1465887" y="1899312"/>
          <a:ext cx="2547804" cy="233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100" b="0" i="0" strike="noStrike" baseline="0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  <a:ea typeface="Calibri"/>
              <a:cs typeface="Calibri"/>
            </a:rPr>
            <a:t>Bon	Mauvais	Inquiétant</a:t>
          </a:r>
        </a:p>
        <a:p xmlns:a="http://schemas.openxmlformats.org/drawingml/2006/main">
          <a:pPr algn="l" rtl="0">
            <a:defRPr sz="1000"/>
          </a:pPr>
          <a:endParaRPr lang="fr-FR" sz="11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cdr:txBody>
    </cdr:sp>
  </cdr:relSizeAnchor>
  <cdr:relSizeAnchor xmlns:cdr="http://schemas.openxmlformats.org/drawingml/2006/chartDrawing">
    <cdr:from>
      <cdr:x>0.26767</cdr:x>
      <cdr:y>0.69947</cdr:y>
    </cdr:from>
    <cdr:to>
      <cdr:x>0.29814</cdr:x>
      <cdr:y>0.73839</cdr:y>
    </cdr:to>
    <cdr:sp macro="" textlink="">
      <cdr:nvSpPr>
        <cdr:cNvPr id="15" name="Rectangle à coins arrondis 14"/>
        <cdr:cNvSpPr/>
      </cdr:nvSpPr>
      <cdr:spPr>
        <a:xfrm xmlns:a="http://schemas.openxmlformats.org/drawingml/2006/main">
          <a:off x="1226097" y="1936362"/>
          <a:ext cx="139573" cy="10774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CH"/>
        </a:p>
      </cdr:txBody>
    </cdr:sp>
  </cdr:relSizeAnchor>
  <cdr:relSizeAnchor xmlns:cdr="http://schemas.openxmlformats.org/drawingml/2006/chartDrawing">
    <cdr:from>
      <cdr:x>0.66456</cdr:x>
      <cdr:y>0.7026</cdr:y>
    </cdr:from>
    <cdr:to>
      <cdr:x>0.69164</cdr:x>
      <cdr:y>0.74152</cdr:y>
    </cdr:to>
    <cdr:sp macro="" textlink="">
      <cdr:nvSpPr>
        <cdr:cNvPr id="16" name="Rectangle à coins arrondis 15"/>
        <cdr:cNvSpPr/>
      </cdr:nvSpPr>
      <cdr:spPr>
        <a:xfrm xmlns:a="http://schemas.openxmlformats.org/drawingml/2006/main">
          <a:off x="3044138" y="1945021"/>
          <a:ext cx="124045" cy="10774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C00000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CH"/>
        </a:p>
      </cdr:txBody>
    </cdr:sp>
  </cdr:relSizeAnchor>
  <cdr:relSizeAnchor xmlns:cdr="http://schemas.openxmlformats.org/drawingml/2006/chartDrawing">
    <cdr:from>
      <cdr:x>0.47433</cdr:x>
      <cdr:y>0.7026</cdr:y>
    </cdr:from>
    <cdr:to>
      <cdr:x>0.49675</cdr:x>
      <cdr:y>0.74152</cdr:y>
    </cdr:to>
    <cdr:sp macro="" textlink="">
      <cdr:nvSpPr>
        <cdr:cNvPr id="17" name="Rectangle à coins arrondis 16"/>
        <cdr:cNvSpPr/>
      </cdr:nvSpPr>
      <cdr:spPr>
        <a:xfrm xmlns:a="http://schemas.openxmlformats.org/drawingml/2006/main">
          <a:off x="2172728" y="1945020"/>
          <a:ext cx="102699" cy="10774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C000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CH"/>
        </a:p>
      </cdr:txBody>
    </cdr:sp>
  </cdr:relSizeAnchor>
  <cdr:relSizeAnchor xmlns:cdr="http://schemas.openxmlformats.org/drawingml/2006/chartDrawing">
    <cdr:from>
      <cdr:x>0.73155</cdr:x>
      <cdr:y>0.18444</cdr:y>
    </cdr:from>
    <cdr:to>
      <cdr:x>0.9697</cdr:x>
      <cdr:y>0.32405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3340142" y="516834"/>
          <a:ext cx="1087355" cy="391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</a:rPr>
            <a:t>Emprunts / RC</a:t>
          </a:r>
        </a:p>
        <a:p xmlns:a="http://schemas.openxmlformats.org/drawingml/2006/main">
          <a:r>
            <a:rPr lang="en-US" sz="800" b="0">
              <a:solidFill>
                <a:schemeClr val="tx1">
                  <a:lumMod val="75000"/>
                  <a:lumOff val="25000"/>
                </a:schemeClr>
              </a:solidFill>
              <a:latin typeface="Arial Narrow" panose="020B0606020202030204" pitchFamily="34" charset="0"/>
            </a:rPr>
            <a:t>(921, 922, 923)</a:t>
          </a:r>
          <a:endParaRPr lang="en-US" sz="1100" b="0">
            <a:solidFill>
              <a:schemeClr val="tx1">
                <a:lumMod val="75000"/>
                <a:lumOff val="25000"/>
              </a:schemeClr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0.66988</cdr:x>
      <cdr:y>0.67368</cdr:y>
    </cdr:from>
    <cdr:to>
      <cdr:x>0.87015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C89BB9E-DC9C-4F9C-9D27-C7665CC5F5BF}"/>
            </a:ext>
          </a:extLst>
        </cdr:cNvPr>
        <cdr:cNvSpPr txBox="1"/>
      </cdr:nvSpPr>
      <cdr:spPr>
        <a:xfrm xmlns:a="http://schemas.openxmlformats.org/drawingml/2006/main">
          <a:off x="3058584" y="2355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39459</xdr:rowOff>
    </xdr:from>
    <xdr:to>
      <xdr:col>4</xdr:col>
      <xdr:colOff>535214</xdr:colOff>
      <xdr:row>37</xdr:row>
      <xdr:rowOff>63500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571953</xdr:colOff>
      <xdr:row>20</xdr:row>
      <xdr:rowOff>48076</xdr:rowOff>
    </xdr:from>
    <xdr:to>
      <xdr:col>11</xdr:col>
      <xdr:colOff>601875</xdr:colOff>
      <xdr:row>37</xdr:row>
      <xdr:rowOff>57150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8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AE1D-70BF-43D5-A61C-B78AEC0ACB43}">
  <sheetPr codeName="Feuil1">
    <tabColor theme="5"/>
  </sheetPr>
  <dimension ref="A1:AC137"/>
  <sheetViews>
    <sheetView showGridLines="0" tabSelected="1" view="pageLayout" topLeftCell="A87" zoomScaleNormal="80" workbookViewId="0">
      <selection activeCell="J94" sqref="J94"/>
    </sheetView>
  </sheetViews>
  <sheetFormatPr defaultColWidth="11" defaultRowHeight="13.5" x14ac:dyDescent="0.25"/>
  <cols>
    <col min="1" max="1" width="8" customWidth="1"/>
    <col min="2" max="2" width="78.59765625" customWidth="1"/>
    <col min="3" max="7" width="14.796875" customWidth="1"/>
    <col min="8" max="8" width="1.59765625" customWidth="1"/>
    <col min="9" max="10" width="17.3984375" customWidth="1"/>
    <col min="11" max="11" width="3.19921875" customWidth="1"/>
    <col min="12" max="12" width="0.796875" customWidth="1"/>
  </cols>
  <sheetData>
    <row r="1" spans="1:29" ht="16.5" x14ac:dyDescent="0.3">
      <c r="A1" s="1" t="s">
        <v>176</v>
      </c>
      <c r="C1" s="1" t="s">
        <v>156</v>
      </c>
      <c r="D1" s="258"/>
      <c r="E1" s="258"/>
      <c r="F1" s="258"/>
      <c r="G1" s="259" t="s">
        <v>340</v>
      </c>
      <c r="H1" s="259"/>
      <c r="I1" s="259"/>
      <c r="J1" s="231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</row>
    <row r="2" spans="1:29" x14ac:dyDescent="0.25"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</row>
    <row r="3" spans="1:29" x14ac:dyDescent="0.25">
      <c r="A3" s="5"/>
      <c r="B3" s="5" t="s">
        <v>128</v>
      </c>
      <c r="C3" s="92"/>
      <c r="D3" s="92"/>
      <c r="E3" s="92"/>
      <c r="F3" s="92"/>
      <c r="G3" s="92"/>
      <c r="I3" s="11" t="s">
        <v>82</v>
      </c>
      <c r="J3" s="107" t="s">
        <v>164</v>
      </c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</row>
    <row r="4" spans="1:29" x14ac:dyDescent="0.25">
      <c r="A4" s="6">
        <v>30</v>
      </c>
      <c r="B4" s="4" t="s">
        <v>0</v>
      </c>
      <c r="C4" s="93"/>
      <c r="D4" s="93"/>
      <c r="E4" s="93"/>
      <c r="F4" s="93"/>
      <c r="G4" s="93"/>
      <c r="I4" s="14" t="e">
        <f>AVERAGE(C4:G4)</f>
        <v>#DIV/0!</v>
      </c>
      <c r="J4" s="116" t="str">
        <f t="shared" ref="J4:J17" si="0">IF(OR(G4=0,C4=0,AND(G4&lt;0,C4&gt;0),AND(G4&gt;0,C4&lt;0)),"-",(G4/C4)^(1/4)-1)</f>
        <v>-</v>
      </c>
      <c r="K4" s="172"/>
      <c r="L4" s="172" t="b">
        <v>1</v>
      </c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</row>
    <row r="5" spans="1:29" x14ac:dyDescent="0.25">
      <c r="A5" s="6">
        <v>31</v>
      </c>
      <c r="B5" s="4" t="s">
        <v>1</v>
      </c>
      <c r="C5" s="93"/>
      <c r="D5" s="93"/>
      <c r="E5" s="93"/>
      <c r="F5" s="93"/>
      <c r="G5" s="93"/>
      <c r="I5" s="14" t="e">
        <f t="shared" ref="I5:I18" si="1">AVERAGE(C5:G5)</f>
        <v>#DIV/0!</v>
      </c>
      <c r="J5" s="116" t="str">
        <f t="shared" si="0"/>
        <v>-</v>
      </c>
      <c r="K5" s="172"/>
      <c r="L5" s="172" t="b">
        <v>1</v>
      </c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</row>
    <row r="6" spans="1:29" x14ac:dyDescent="0.25">
      <c r="A6" s="6">
        <v>32</v>
      </c>
      <c r="B6" s="4" t="s">
        <v>2</v>
      </c>
      <c r="C6" s="93"/>
      <c r="D6" s="93"/>
      <c r="E6" s="93"/>
      <c r="F6" s="93"/>
      <c r="G6" s="93"/>
      <c r="I6" s="14" t="e">
        <f t="shared" si="1"/>
        <v>#DIV/0!</v>
      </c>
      <c r="J6" s="116" t="str">
        <f t="shared" si="0"/>
        <v>-</v>
      </c>
      <c r="K6" s="172"/>
      <c r="L6" s="172" t="b">
        <v>1</v>
      </c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</row>
    <row r="7" spans="1:29" x14ac:dyDescent="0.25">
      <c r="A7" s="7">
        <v>321</v>
      </c>
      <c r="B7" s="8" t="s">
        <v>69</v>
      </c>
      <c r="C7" s="94"/>
      <c r="D7" s="94"/>
      <c r="E7" s="94"/>
      <c r="F7" s="94"/>
      <c r="G7" s="94"/>
      <c r="I7" s="14" t="e">
        <f t="shared" si="1"/>
        <v>#DIV/0!</v>
      </c>
      <c r="J7" s="116" t="str">
        <f t="shared" si="0"/>
        <v>-</v>
      </c>
      <c r="K7" s="172"/>
      <c r="L7" s="172" t="b">
        <v>0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</row>
    <row r="8" spans="1:29" x14ac:dyDescent="0.25">
      <c r="A8" s="7">
        <v>322</v>
      </c>
      <c r="B8" s="8" t="s">
        <v>215</v>
      </c>
      <c r="C8" s="94"/>
      <c r="D8" s="94"/>
      <c r="E8" s="94"/>
      <c r="F8" s="94"/>
      <c r="G8" s="94"/>
      <c r="I8" s="14" t="e">
        <f t="shared" si="1"/>
        <v>#DIV/0!</v>
      </c>
      <c r="J8" s="116" t="str">
        <f t="shared" si="0"/>
        <v>-</v>
      </c>
      <c r="K8" s="172"/>
      <c r="L8" s="172" t="b">
        <v>0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</row>
    <row r="9" spans="1:29" x14ac:dyDescent="0.25">
      <c r="A9" s="6">
        <v>33</v>
      </c>
      <c r="B9" s="4" t="s">
        <v>3</v>
      </c>
      <c r="C9" s="93"/>
      <c r="D9" s="93"/>
      <c r="E9" s="93"/>
      <c r="F9" s="93"/>
      <c r="G9" s="93"/>
      <c r="I9" s="14" t="e">
        <f t="shared" si="1"/>
        <v>#DIV/0!</v>
      </c>
      <c r="J9" s="116" t="str">
        <f t="shared" si="0"/>
        <v>-</v>
      </c>
      <c r="K9" s="172"/>
      <c r="L9" s="172" t="b">
        <v>1</v>
      </c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</row>
    <row r="10" spans="1:29" x14ac:dyDescent="0.25">
      <c r="A10" s="7">
        <v>330</v>
      </c>
      <c r="B10" s="8" t="s">
        <v>16</v>
      </c>
      <c r="C10" s="94"/>
      <c r="D10" s="94"/>
      <c r="E10" s="94"/>
      <c r="F10" s="94"/>
      <c r="G10" s="94"/>
      <c r="I10" s="14" t="e">
        <f t="shared" si="1"/>
        <v>#DIV/0!</v>
      </c>
      <c r="J10" s="116" t="str">
        <f t="shared" si="0"/>
        <v>-</v>
      </c>
      <c r="K10" s="172"/>
      <c r="L10" s="172" t="b">
        <v>0</v>
      </c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</row>
    <row r="11" spans="1:29" x14ac:dyDescent="0.25">
      <c r="A11" s="7">
        <v>331</v>
      </c>
      <c r="B11" s="8" t="s">
        <v>17</v>
      </c>
      <c r="C11" s="94"/>
      <c r="D11" s="94"/>
      <c r="E11" s="94"/>
      <c r="F11" s="94"/>
      <c r="G11" s="94"/>
      <c r="I11" s="14" t="e">
        <f t="shared" si="1"/>
        <v>#DIV/0!</v>
      </c>
      <c r="J11" s="116" t="str">
        <f t="shared" si="0"/>
        <v>-</v>
      </c>
      <c r="K11" s="172"/>
      <c r="L11" s="172" t="b">
        <v>0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</row>
    <row r="12" spans="1:29" x14ac:dyDescent="0.25">
      <c r="A12" s="7">
        <v>332</v>
      </c>
      <c r="B12" s="8" t="s">
        <v>216</v>
      </c>
      <c r="C12" s="94"/>
      <c r="D12" s="94"/>
      <c r="E12" s="94"/>
      <c r="F12" s="94"/>
      <c r="G12" s="94"/>
      <c r="I12" s="14" t="e">
        <f t="shared" si="1"/>
        <v>#DIV/0!</v>
      </c>
      <c r="J12" s="116" t="str">
        <f t="shared" si="0"/>
        <v>-</v>
      </c>
      <c r="K12" s="172"/>
      <c r="L12" s="172" t="b">
        <v>0</v>
      </c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</row>
    <row r="13" spans="1:29" x14ac:dyDescent="0.25">
      <c r="A13" s="7">
        <v>333</v>
      </c>
      <c r="B13" s="8" t="s">
        <v>18</v>
      </c>
      <c r="C13" s="94"/>
      <c r="D13" s="94"/>
      <c r="E13" s="94"/>
      <c r="F13" s="94"/>
      <c r="G13" s="94"/>
      <c r="I13" s="14" t="e">
        <f t="shared" si="1"/>
        <v>#DIV/0!</v>
      </c>
      <c r="J13" s="116" t="str">
        <f t="shared" si="0"/>
        <v>-</v>
      </c>
      <c r="K13" s="172"/>
      <c r="L13" s="172" t="b">
        <v>0</v>
      </c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</row>
    <row r="14" spans="1:29" x14ac:dyDescent="0.25">
      <c r="A14" s="6">
        <v>35</v>
      </c>
      <c r="B14" s="4" t="s">
        <v>4</v>
      </c>
      <c r="C14" s="93"/>
      <c r="D14" s="93"/>
      <c r="E14" s="93"/>
      <c r="F14" s="93"/>
      <c r="G14" s="93"/>
      <c r="I14" s="14" t="e">
        <f t="shared" si="1"/>
        <v>#DIV/0!</v>
      </c>
      <c r="J14" s="116" t="str">
        <f t="shared" si="0"/>
        <v>-</v>
      </c>
      <c r="K14" s="172"/>
      <c r="L14" s="172" t="b">
        <v>1</v>
      </c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</row>
    <row r="15" spans="1:29" x14ac:dyDescent="0.25">
      <c r="A15" s="6">
        <v>36</v>
      </c>
      <c r="B15" s="4" t="s">
        <v>5</v>
      </c>
      <c r="C15" s="93"/>
      <c r="D15" s="93"/>
      <c r="E15" s="93"/>
      <c r="F15" s="93"/>
      <c r="G15" s="93"/>
      <c r="I15" s="14" t="e">
        <f t="shared" si="1"/>
        <v>#DIV/0!</v>
      </c>
      <c r="J15" s="116" t="str">
        <f t="shared" si="0"/>
        <v>-</v>
      </c>
      <c r="K15" s="172"/>
      <c r="L15" s="172" t="b">
        <v>1</v>
      </c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</row>
    <row r="16" spans="1:29" x14ac:dyDescent="0.25">
      <c r="A16" s="6">
        <v>38</v>
      </c>
      <c r="B16" s="4" t="s">
        <v>6</v>
      </c>
      <c r="C16" s="93"/>
      <c r="D16" s="93"/>
      <c r="E16" s="93"/>
      <c r="F16" s="93"/>
      <c r="G16" s="93"/>
      <c r="I16" s="14" t="e">
        <f t="shared" si="1"/>
        <v>#DIV/0!</v>
      </c>
      <c r="J16" s="116" t="str">
        <f t="shared" si="0"/>
        <v>-</v>
      </c>
      <c r="K16" s="172"/>
      <c r="L16" s="172" t="b">
        <v>1</v>
      </c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</row>
    <row r="17" spans="1:29" x14ac:dyDescent="0.25">
      <c r="A17" s="7">
        <v>381</v>
      </c>
      <c r="B17" s="8" t="s">
        <v>19</v>
      </c>
      <c r="C17" s="93"/>
      <c r="D17" s="93"/>
      <c r="E17" s="93"/>
      <c r="F17" s="93"/>
      <c r="G17" s="93"/>
      <c r="I17" s="14" t="e">
        <f t="shared" si="1"/>
        <v>#DIV/0!</v>
      </c>
      <c r="J17" s="116" t="str">
        <f t="shared" si="0"/>
        <v>-</v>
      </c>
      <c r="K17" s="172"/>
      <c r="L17" s="172" t="b">
        <v>0</v>
      </c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</row>
    <row r="18" spans="1:29" x14ac:dyDescent="0.25">
      <c r="A18" s="6">
        <v>39</v>
      </c>
      <c r="B18" s="4" t="s">
        <v>7</v>
      </c>
      <c r="C18" s="93"/>
      <c r="D18" s="93"/>
      <c r="E18" s="93"/>
      <c r="F18" s="93"/>
      <c r="G18" s="93"/>
      <c r="I18" s="14" t="e">
        <f t="shared" si="1"/>
        <v>#DIV/0!</v>
      </c>
      <c r="J18" s="116" t="str">
        <f t="shared" ref="J18" si="2">IF(OR(G18=0,C18=0,AND(G18&lt;0,C18&gt;0),AND(G18&gt;0,C18&lt;0)),"-",(G18/C18)^(1/4)-1)</f>
        <v>-</v>
      </c>
      <c r="K18" s="172"/>
      <c r="L18" s="172" t="b">
        <v>1</v>
      </c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</row>
    <row r="19" spans="1:29" x14ac:dyDescent="0.25">
      <c r="A19" s="9" t="s">
        <v>21</v>
      </c>
      <c r="B19" s="9"/>
      <c r="C19" s="10">
        <f>C4+C5+C6+C9+C14+C15+C16+C18</f>
        <v>0</v>
      </c>
      <c r="D19" s="10">
        <f>D4+D5+D6+D9+D14+D15+D16+D18</f>
        <v>0</v>
      </c>
      <c r="E19" s="10">
        <f>E4+E5+E6+E9+E14+E15+E16+E18</f>
        <v>0</v>
      </c>
      <c r="F19" s="10">
        <f>F4+F5+F6+F9+F14+F15+F16+F18</f>
        <v>0</v>
      </c>
      <c r="G19" s="10">
        <f>G4+G5+G6+G9+G14+G15+G16+G18</f>
        <v>0</v>
      </c>
      <c r="I19" s="10" t="e">
        <f>I4+I5+I6+I9+I14+I15+I16+I18</f>
        <v>#DIV/0!</v>
      </c>
      <c r="J19" s="117" t="str">
        <f>IF(OR(G19=0,C19=0,AND(G19&lt;0,C19&gt;0),AND(G19&gt;0,C19&lt;0)),"-",(G19/C19)^(1/4)-1)</f>
        <v>-</v>
      </c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</row>
    <row r="20" spans="1:29" ht="4.5" customHeight="1" x14ac:dyDescent="0.25">
      <c r="J20" s="175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</row>
    <row r="21" spans="1:29" x14ac:dyDescent="0.25">
      <c r="A21" s="5"/>
      <c r="B21" s="5" t="s">
        <v>129</v>
      </c>
      <c r="C21" s="11">
        <f>C3</f>
        <v>0</v>
      </c>
      <c r="D21" s="11">
        <f>D3</f>
        <v>0</v>
      </c>
      <c r="E21" s="11">
        <f>E3</f>
        <v>0</v>
      </c>
      <c r="F21" s="11">
        <f>F3</f>
        <v>0</v>
      </c>
      <c r="G21" s="11">
        <f>G3</f>
        <v>0</v>
      </c>
      <c r="I21" s="11" t="str">
        <f>I3</f>
        <v>Moyenne</v>
      </c>
      <c r="J21" s="107" t="str">
        <f>J3</f>
        <v>Tx croissance</v>
      </c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</row>
    <row r="22" spans="1:29" x14ac:dyDescent="0.25">
      <c r="A22" s="6">
        <v>40</v>
      </c>
      <c r="B22" s="4" t="s">
        <v>8</v>
      </c>
      <c r="C22" s="93"/>
      <c r="D22" s="93"/>
      <c r="E22" s="93"/>
      <c r="F22" s="93"/>
      <c r="G22" s="93"/>
      <c r="I22" s="14" t="e">
        <f t="shared" ref="I22:I37" si="3">AVERAGE(C22:G22)</f>
        <v>#DIV/0!</v>
      </c>
      <c r="J22" s="116" t="str">
        <f t="shared" ref="J22:J36" si="4">IF(OR(G22=0,C22=0,AND(G22&lt;0,C22&gt;0),AND(G22&gt;0,C22&lt;0)),"-",(G22/C22)^(1/4)-1)</f>
        <v>-</v>
      </c>
      <c r="K22" s="172"/>
      <c r="L22" s="172" t="b">
        <v>1</v>
      </c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</row>
    <row r="23" spans="1:29" x14ac:dyDescent="0.25">
      <c r="A23" s="7">
        <v>400</v>
      </c>
      <c r="B23" s="8" t="s">
        <v>117</v>
      </c>
      <c r="C23" s="94"/>
      <c r="D23" s="94"/>
      <c r="E23" s="94"/>
      <c r="F23" s="94"/>
      <c r="G23" s="94"/>
      <c r="I23" s="14" t="e">
        <f t="shared" si="3"/>
        <v>#DIV/0!</v>
      </c>
      <c r="J23" s="116" t="str">
        <f t="shared" si="4"/>
        <v>-</v>
      </c>
      <c r="K23" s="172"/>
      <c r="L23" s="172" t="b">
        <v>0</v>
      </c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</row>
    <row r="24" spans="1:29" x14ac:dyDescent="0.25">
      <c r="A24" s="7">
        <v>401</v>
      </c>
      <c r="B24" s="8" t="s">
        <v>118</v>
      </c>
      <c r="C24" s="94"/>
      <c r="D24" s="94"/>
      <c r="E24" s="94"/>
      <c r="F24" s="94"/>
      <c r="G24" s="94"/>
      <c r="I24" s="14" t="e">
        <f t="shared" si="3"/>
        <v>#DIV/0!</v>
      </c>
      <c r="J24" s="116" t="str">
        <f t="shared" si="4"/>
        <v>-</v>
      </c>
      <c r="K24" s="172"/>
      <c r="L24" s="172" t="b">
        <v>0</v>
      </c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</row>
    <row r="25" spans="1:29" x14ac:dyDescent="0.25">
      <c r="A25" s="6">
        <v>41</v>
      </c>
      <c r="B25" s="4" t="s">
        <v>9</v>
      </c>
      <c r="C25" s="93"/>
      <c r="D25" s="93"/>
      <c r="E25" s="93"/>
      <c r="F25" s="93"/>
      <c r="G25" s="93"/>
      <c r="I25" s="14" t="e">
        <f t="shared" si="3"/>
        <v>#DIV/0!</v>
      </c>
      <c r="J25" s="116" t="str">
        <f t="shared" si="4"/>
        <v>-</v>
      </c>
      <c r="K25" s="172"/>
      <c r="L25" s="172" t="b">
        <v>1</v>
      </c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</row>
    <row r="26" spans="1:29" x14ac:dyDescent="0.25">
      <c r="A26" s="6">
        <v>42</v>
      </c>
      <c r="B26" s="4" t="s">
        <v>10</v>
      </c>
      <c r="C26" s="93"/>
      <c r="D26" s="93"/>
      <c r="E26" s="93"/>
      <c r="F26" s="93"/>
      <c r="G26" s="93"/>
      <c r="I26" s="14" t="e">
        <f t="shared" si="3"/>
        <v>#DIV/0!</v>
      </c>
      <c r="J26" s="116" t="str">
        <f t="shared" si="4"/>
        <v>-</v>
      </c>
      <c r="K26" s="172"/>
      <c r="L26" s="172" t="b">
        <v>1</v>
      </c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</row>
    <row r="27" spans="1:29" x14ac:dyDescent="0.25">
      <c r="A27" s="7">
        <v>424</v>
      </c>
      <c r="B27" s="8" t="s">
        <v>15</v>
      </c>
      <c r="C27" s="94"/>
      <c r="D27" s="94"/>
      <c r="E27" s="94"/>
      <c r="F27" s="94"/>
      <c r="G27" s="94"/>
      <c r="I27" s="14" t="e">
        <f t="shared" si="3"/>
        <v>#DIV/0!</v>
      </c>
      <c r="J27" s="116" t="str">
        <f t="shared" si="4"/>
        <v>-</v>
      </c>
      <c r="K27" s="172"/>
      <c r="L27" s="172" t="b">
        <v>0</v>
      </c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</row>
    <row r="28" spans="1:29" x14ac:dyDescent="0.25">
      <c r="A28" s="7">
        <v>425</v>
      </c>
      <c r="B28" s="8" t="s">
        <v>233</v>
      </c>
      <c r="C28" s="94"/>
      <c r="D28" s="94"/>
      <c r="E28" s="94"/>
      <c r="F28" s="94"/>
      <c r="G28" s="94"/>
      <c r="I28" s="14" t="e">
        <f t="shared" si="3"/>
        <v>#DIV/0!</v>
      </c>
      <c r="J28" s="116" t="str">
        <f t="shared" si="4"/>
        <v>-</v>
      </c>
      <c r="K28" s="172"/>
      <c r="L28" s="172" t="b">
        <v>0</v>
      </c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</row>
    <row r="29" spans="1:29" x14ac:dyDescent="0.25">
      <c r="A29" s="7">
        <v>427</v>
      </c>
      <c r="B29" s="8" t="s">
        <v>234</v>
      </c>
      <c r="C29" s="94"/>
      <c r="D29" s="94"/>
      <c r="E29" s="94"/>
      <c r="F29" s="94"/>
      <c r="G29" s="94"/>
      <c r="I29" s="14" t="e">
        <f t="shared" si="3"/>
        <v>#DIV/0!</v>
      </c>
      <c r="J29" s="116" t="str">
        <f t="shared" si="4"/>
        <v>-</v>
      </c>
      <c r="K29" s="172"/>
      <c r="L29" s="172" t="b">
        <v>0</v>
      </c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</row>
    <row r="30" spans="1:29" x14ac:dyDescent="0.25">
      <c r="A30" s="7">
        <v>43</v>
      </c>
      <c r="B30" s="8" t="s">
        <v>11</v>
      </c>
      <c r="C30" s="93"/>
      <c r="D30" s="93"/>
      <c r="E30" s="93"/>
      <c r="F30" s="93"/>
      <c r="G30" s="93"/>
      <c r="I30" s="14" t="e">
        <f t="shared" si="3"/>
        <v>#DIV/0!</v>
      </c>
      <c r="J30" s="116" t="str">
        <f t="shared" si="4"/>
        <v>-</v>
      </c>
      <c r="K30" s="172"/>
      <c r="L30" s="172" t="b">
        <v>1</v>
      </c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</row>
    <row r="31" spans="1:29" x14ac:dyDescent="0.25">
      <c r="A31" s="7">
        <v>431</v>
      </c>
      <c r="B31" s="8" t="s">
        <v>235</v>
      </c>
      <c r="C31" s="94"/>
      <c r="D31" s="94"/>
      <c r="E31" s="94"/>
      <c r="F31" s="93"/>
      <c r="G31" s="94"/>
      <c r="I31" s="14" t="e">
        <f t="shared" si="3"/>
        <v>#DIV/0!</v>
      </c>
      <c r="J31" s="116" t="str">
        <f t="shared" si="4"/>
        <v>-</v>
      </c>
      <c r="K31" s="172"/>
      <c r="L31" s="172" t="b">
        <v>0</v>
      </c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</row>
    <row r="32" spans="1:29" x14ac:dyDescent="0.25">
      <c r="A32" s="6">
        <v>44</v>
      </c>
      <c r="B32" s="4" t="s">
        <v>12</v>
      </c>
      <c r="C32" s="93"/>
      <c r="D32" s="93"/>
      <c r="E32" s="93"/>
      <c r="F32" s="93"/>
      <c r="G32" s="93"/>
      <c r="I32" s="14" t="e">
        <f t="shared" si="3"/>
        <v>#DIV/0!</v>
      </c>
      <c r="J32" s="116" t="str">
        <f t="shared" si="4"/>
        <v>-</v>
      </c>
      <c r="K32" s="172"/>
      <c r="L32" s="172" t="b">
        <v>1</v>
      </c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</row>
    <row r="33" spans="1:29" x14ac:dyDescent="0.25">
      <c r="A33" s="6">
        <v>45</v>
      </c>
      <c r="B33" s="4" t="s">
        <v>13</v>
      </c>
      <c r="C33" s="93"/>
      <c r="D33" s="93"/>
      <c r="E33" s="93"/>
      <c r="F33" s="93"/>
      <c r="G33" s="93"/>
      <c r="I33" s="14" t="e">
        <f t="shared" si="3"/>
        <v>#DIV/0!</v>
      </c>
      <c r="J33" s="116" t="str">
        <f t="shared" si="4"/>
        <v>-</v>
      </c>
      <c r="K33" s="172"/>
      <c r="L33" s="172" t="b">
        <v>1</v>
      </c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</row>
    <row r="34" spans="1:29" x14ac:dyDescent="0.25">
      <c r="A34" s="6">
        <v>46</v>
      </c>
      <c r="B34" s="4" t="s">
        <v>217</v>
      </c>
      <c r="C34" s="93"/>
      <c r="D34" s="93"/>
      <c r="E34" s="93"/>
      <c r="F34" s="93"/>
      <c r="G34" s="93"/>
      <c r="I34" s="14" t="e">
        <f t="shared" si="3"/>
        <v>#DIV/0!</v>
      </c>
      <c r="J34" s="116" t="str">
        <f t="shared" si="4"/>
        <v>-</v>
      </c>
      <c r="K34" s="172"/>
      <c r="L34" s="172" t="b">
        <v>1</v>
      </c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</row>
    <row r="35" spans="1:29" x14ac:dyDescent="0.25">
      <c r="A35" s="6">
        <v>48</v>
      </c>
      <c r="B35" s="4" t="s">
        <v>14</v>
      </c>
      <c r="C35" s="93"/>
      <c r="D35" s="93"/>
      <c r="E35" s="93"/>
      <c r="F35" s="93"/>
      <c r="G35" s="93"/>
      <c r="I35" s="14" t="e">
        <f t="shared" si="3"/>
        <v>#DIV/0!</v>
      </c>
      <c r="J35" s="116" t="str">
        <f t="shared" si="4"/>
        <v>-</v>
      </c>
      <c r="K35" s="172"/>
      <c r="L35" s="172" t="b">
        <v>1</v>
      </c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</row>
    <row r="36" spans="1:29" x14ac:dyDescent="0.25">
      <c r="A36" s="7">
        <v>481</v>
      </c>
      <c r="B36" s="8" t="s">
        <v>20</v>
      </c>
      <c r="C36" s="94"/>
      <c r="D36" s="94"/>
      <c r="E36" s="94"/>
      <c r="F36" s="94"/>
      <c r="G36" s="94"/>
      <c r="I36" s="14" t="e">
        <f t="shared" si="3"/>
        <v>#DIV/0!</v>
      </c>
      <c r="J36" s="116" t="str">
        <f t="shared" si="4"/>
        <v>-</v>
      </c>
      <c r="K36" s="172"/>
      <c r="L36" s="172" t="b">
        <v>0</v>
      </c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</row>
    <row r="37" spans="1:29" x14ac:dyDescent="0.25">
      <c r="A37" s="6">
        <v>49</v>
      </c>
      <c r="B37" s="4" t="s">
        <v>7</v>
      </c>
      <c r="C37" s="93"/>
      <c r="D37" s="93"/>
      <c r="E37" s="93"/>
      <c r="F37" s="93"/>
      <c r="G37" s="93"/>
      <c r="I37" s="14" t="e">
        <f t="shared" si="3"/>
        <v>#DIV/0!</v>
      </c>
      <c r="J37" s="116" t="str">
        <f>IF(OR(G37=0,C37=0,AND(G37&lt;0,C37&gt;0),AND(G37&gt;0,C37&lt;0)),"-",(G37/C37)^(1/4)-1)</f>
        <v>-</v>
      </c>
      <c r="K37" s="172"/>
      <c r="L37" s="172" t="b">
        <v>1</v>
      </c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</row>
    <row r="38" spans="1:29" x14ac:dyDescent="0.25">
      <c r="A38" s="9" t="s">
        <v>22</v>
      </c>
      <c r="B38" s="9"/>
      <c r="C38" s="10">
        <f>C22+C25+C26+C30+C32+C33+C34+C35+C37</f>
        <v>0</v>
      </c>
      <c r="D38" s="10">
        <f>D22+D25+D26+D30+D32+D33+D34+D35+D37</f>
        <v>0</v>
      </c>
      <c r="E38" s="10">
        <f>E22+E25+E26+E30+E32+E33+E34+E35+E37</f>
        <v>0</v>
      </c>
      <c r="F38" s="10">
        <f>F22+F25+F26+F30+F32+F33+F34+F35+F37</f>
        <v>0</v>
      </c>
      <c r="G38" s="10">
        <f>G22+G25+G26+G30+G32+G33+G34+G35+G37</f>
        <v>0</v>
      </c>
      <c r="I38" s="10" t="e">
        <f>I22+I25+I26+I30+I32+I33+I34+I35+I37</f>
        <v>#DIV/0!</v>
      </c>
      <c r="J38" s="117" t="str">
        <f>IF(OR(G38=0,C38=0,AND(G38&lt;0,C38&gt;0),AND(G38&gt;0,C38&lt;0)),"-",(G38/C38)^(1/4)-1)</f>
        <v>-</v>
      </c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</row>
    <row r="39" spans="1:29" ht="4.5" customHeight="1" x14ac:dyDescent="0.25"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</row>
    <row r="40" spans="1:29" x14ac:dyDescent="0.25">
      <c r="A40" s="9" t="s">
        <v>23</v>
      </c>
      <c r="B40" s="9"/>
      <c r="C40" s="10">
        <f>C38-C19</f>
        <v>0</v>
      </c>
      <c r="D40" s="10">
        <f>D38-D19</f>
        <v>0</v>
      </c>
      <c r="E40" s="10">
        <f>E38-E19</f>
        <v>0</v>
      </c>
      <c r="F40" s="10">
        <f>F38-F19</f>
        <v>0</v>
      </c>
      <c r="G40" s="10">
        <f>G38-G19</f>
        <v>0</v>
      </c>
      <c r="I40" s="10" t="e">
        <f>I38-I19</f>
        <v>#DIV/0!</v>
      </c>
      <c r="J40" s="117" t="str">
        <f>IF(OR(G40=0,C40=0,AND(G40&lt;0,C40&gt;0),AND(G40&gt;0,C40&lt;0)),"-",(G40/C40)^(1/4)-1)</f>
        <v>-</v>
      </c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</row>
    <row r="41" spans="1:29" x14ac:dyDescent="0.25"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</row>
    <row r="42" spans="1:29" x14ac:dyDescent="0.25">
      <c r="A42" s="4" t="s">
        <v>42</v>
      </c>
      <c r="B42" s="4"/>
      <c r="C42" s="6" t="str">
        <f>IF(C18=C37,"OK","Erreur")</f>
        <v>OK</v>
      </c>
      <c r="D42" s="6" t="str">
        <f>IF(D18=D37,"OK","Erreur")</f>
        <v>OK</v>
      </c>
      <c r="E42" s="6" t="str">
        <f>IF(E18=E37,"OK","Erreur")</f>
        <v>OK</v>
      </c>
      <c r="F42" s="6" t="str">
        <f>IF(F18=F37,"OK","Erreur")</f>
        <v>OK</v>
      </c>
      <c r="G42" s="6" t="str">
        <f>IF(G18=G37,"OK","Erreur")</f>
        <v>OK</v>
      </c>
      <c r="I42" s="6" t="e">
        <f>IF(I18=I37,"OK","Erreur")</f>
        <v>#DIV/0!</v>
      </c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</row>
    <row r="43" spans="1:29" x14ac:dyDescent="0.25">
      <c r="A43" s="6">
        <v>900</v>
      </c>
      <c r="B43" s="4" t="s">
        <v>25</v>
      </c>
      <c r="C43" s="93"/>
      <c r="D43" s="93"/>
      <c r="E43" s="93"/>
      <c r="F43" s="93"/>
      <c r="G43" s="93"/>
      <c r="I43" s="14" t="e">
        <f>AVERAGE(C43:G43)</f>
        <v>#DIV/0!</v>
      </c>
    </row>
    <row r="44" spans="1:29" x14ac:dyDescent="0.25">
      <c r="A44" s="4" t="s">
        <v>24</v>
      </c>
      <c r="B44" s="4"/>
      <c r="C44" s="6" t="str">
        <f>IF(ROUND(C40-C43,0)=0,"OK","Erreur")</f>
        <v>OK</v>
      </c>
      <c r="D44" s="6" t="str">
        <f>IF(ROUND(D40-D43,0)=0,"OK","Erreur")</f>
        <v>OK</v>
      </c>
      <c r="E44" s="6" t="str">
        <f>IF(ROUND(E40-E43,0)=0,"OK","Erreur")</f>
        <v>OK</v>
      </c>
      <c r="F44" s="6" t="str">
        <f>IF(ROUND(F40-F43,0)=0,"OK","Erreur")</f>
        <v>OK</v>
      </c>
      <c r="G44" s="6" t="str">
        <f>IF(ROUND(G40-G43,0)=0,"OK","Erreur")</f>
        <v>OK</v>
      </c>
      <c r="I44" s="6" t="e">
        <f>IF(ROUND(I40-I43,0)=0,"OK","Erreur")</f>
        <v>#DIV/0!</v>
      </c>
    </row>
    <row r="45" spans="1:29" ht="8.25" customHeight="1" x14ac:dyDescent="0.25"/>
    <row r="46" spans="1:29" x14ac:dyDescent="0.25">
      <c r="A46" s="5"/>
      <c r="B46" s="5" t="s">
        <v>130</v>
      </c>
      <c r="C46" s="11">
        <f>C21</f>
        <v>0</v>
      </c>
      <c r="D46" s="11">
        <f>D21</f>
        <v>0</v>
      </c>
      <c r="E46" s="11">
        <f>E21</f>
        <v>0</v>
      </c>
      <c r="F46" s="11">
        <f>F21</f>
        <v>0</v>
      </c>
      <c r="G46" s="11">
        <f>G21</f>
        <v>0</v>
      </c>
      <c r="I46" s="11" t="str">
        <f>I3</f>
        <v>Moyenne</v>
      </c>
      <c r="J46" s="107" t="str">
        <f>J3</f>
        <v>Tx croissance</v>
      </c>
    </row>
    <row r="47" spans="1:29" x14ac:dyDescent="0.25">
      <c r="A47" s="6">
        <v>50</v>
      </c>
      <c r="B47" s="4" t="s">
        <v>43</v>
      </c>
      <c r="C47" s="93"/>
      <c r="D47" s="93"/>
      <c r="E47" s="93"/>
      <c r="F47" s="93"/>
      <c r="G47" s="93"/>
      <c r="I47" s="14" t="e">
        <f>AVERAGE(C47:G47)</f>
        <v>#DIV/0!</v>
      </c>
      <c r="J47" s="116" t="str">
        <f>IF(OR(G47=0,C47=0,AND(G47&lt;0,C47&gt;0),AND(G47&gt;0,C47&lt;0)),"-",(G47/C47)^(1/4)-1)</f>
        <v>-</v>
      </c>
    </row>
    <row r="48" spans="1:29" x14ac:dyDescent="0.25">
      <c r="A48" s="6">
        <v>52</v>
      </c>
      <c r="B48" s="4" t="s">
        <v>44</v>
      </c>
      <c r="C48" s="93"/>
      <c r="D48" s="93"/>
      <c r="E48" s="93"/>
      <c r="F48" s="93"/>
      <c r="G48" s="93"/>
      <c r="I48" s="14" t="e">
        <f>AVERAGE(C48:G48)</f>
        <v>#DIV/0!</v>
      </c>
      <c r="J48" s="116" t="str">
        <f t="shared" ref="J48:J50" si="5">IF(OR(G48=0,C48=0,AND(G48&lt;0,C48&gt;0),AND(G48&gt;0,C48&lt;0)),"-",(G48/C48)^(1/4)-1)</f>
        <v>-</v>
      </c>
    </row>
    <row r="49" spans="1:10" x14ac:dyDescent="0.25">
      <c r="A49" s="6">
        <v>56</v>
      </c>
      <c r="B49" s="4" t="s">
        <v>218</v>
      </c>
      <c r="C49" s="93"/>
      <c r="D49" s="93"/>
      <c r="E49" s="93"/>
      <c r="F49" s="93"/>
      <c r="G49" s="93"/>
      <c r="I49" s="14" t="e">
        <f>AVERAGE(C49:G49)</f>
        <v>#DIV/0!</v>
      </c>
      <c r="J49" s="116" t="str">
        <f t="shared" si="5"/>
        <v>-</v>
      </c>
    </row>
    <row r="50" spans="1:10" x14ac:dyDescent="0.25">
      <c r="A50" s="6">
        <v>58</v>
      </c>
      <c r="B50" s="4" t="s">
        <v>45</v>
      </c>
      <c r="C50" s="93"/>
      <c r="D50" s="93"/>
      <c r="E50" s="93"/>
      <c r="F50" s="93"/>
      <c r="G50" s="93"/>
      <c r="I50" s="14" t="e">
        <f>AVERAGE(C50:G50)</f>
        <v>#DIV/0!</v>
      </c>
      <c r="J50" s="116" t="str">
        <f t="shared" si="5"/>
        <v>-</v>
      </c>
    </row>
    <row r="51" spans="1:10" x14ac:dyDescent="0.25">
      <c r="A51" s="13" t="s">
        <v>50</v>
      </c>
      <c r="B51" s="9"/>
      <c r="C51" s="10">
        <f>SUM(C47:C50)</f>
        <v>0</v>
      </c>
      <c r="D51" s="10">
        <f>SUM(D47:D50)</f>
        <v>0</v>
      </c>
      <c r="E51" s="10">
        <f>SUM(E47:E50)</f>
        <v>0</v>
      </c>
      <c r="F51" s="10">
        <f>SUM(F47:F50)</f>
        <v>0</v>
      </c>
      <c r="G51" s="10">
        <f>SUM(G47:G50)</f>
        <v>0</v>
      </c>
      <c r="I51" s="10" t="e">
        <f>SUM(I47:I50)</f>
        <v>#DIV/0!</v>
      </c>
      <c r="J51" s="117" t="str">
        <f>IF(OR(G51=0,C51=0,AND(G51&lt;0,C51&gt;0),AND(G51&gt;0,C51&lt;0)),"-",(G51/C51)^(1/4)-1)</f>
        <v>-</v>
      </c>
    </row>
    <row r="52" spans="1:10" ht="4.5" customHeight="1" x14ac:dyDescent="0.25">
      <c r="A52" s="3"/>
    </row>
    <row r="53" spans="1:10" x14ac:dyDescent="0.25">
      <c r="A53" s="11"/>
      <c r="B53" s="5" t="s">
        <v>131</v>
      </c>
      <c r="C53" s="12">
        <f>C21</f>
        <v>0</v>
      </c>
      <c r="D53" s="12">
        <f>D21</f>
        <v>0</v>
      </c>
      <c r="E53" s="12">
        <f>E21</f>
        <v>0</v>
      </c>
      <c r="F53" s="12">
        <f>F21</f>
        <v>0</v>
      </c>
      <c r="G53" s="12">
        <f>G21</f>
        <v>0</v>
      </c>
      <c r="I53" s="12" t="str">
        <f>I3</f>
        <v>Moyenne</v>
      </c>
      <c r="J53" s="107" t="str">
        <f>J3</f>
        <v>Tx croissance</v>
      </c>
    </row>
    <row r="54" spans="1:10" x14ac:dyDescent="0.25">
      <c r="A54" s="6">
        <v>60</v>
      </c>
      <c r="B54" s="4" t="s">
        <v>49</v>
      </c>
      <c r="C54" s="93"/>
      <c r="D54" s="93"/>
      <c r="E54" s="93"/>
      <c r="F54" s="93"/>
      <c r="G54" s="93"/>
      <c r="I54" s="14" t="e">
        <f>AVERAGE(C54:G54)</f>
        <v>#DIV/0!</v>
      </c>
      <c r="J54" s="116" t="str">
        <f t="shared" ref="J54:J58" si="6">IF(OR(G54=0,C54=0,AND(G54&lt;0,C54&gt;0),AND(G54&gt;0,C54&lt;0)),"-",(G54/C54)^(1/4)-1)</f>
        <v>-</v>
      </c>
    </row>
    <row r="55" spans="1:10" x14ac:dyDescent="0.25">
      <c r="A55" s="6">
        <v>61</v>
      </c>
      <c r="B55" s="4" t="s">
        <v>48</v>
      </c>
      <c r="C55" s="93"/>
      <c r="D55" s="93"/>
      <c r="E55" s="93"/>
      <c r="F55" s="93"/>
      <c r="G55" s="93"/>
      <c r="I55" s="14" t="e">
        <f>AVERAGE(C55:G55)</f>
        <v>#DIV/0!</v>
      </c>
      <c r="J55" s="116" t="str">
        <f t="shared" si="6"/>
        <v>-</v>
      </c>
    </row>
    <row r="56" spans="1:10" x14ac:dyDescent="0.25">
      <c r="A56" s="6">
        <v>62</v>
      </c>
      <c r="B56" s="4" t="s">
        <v>46</v>
      </c>
      <c r="C56" s="93"/>
      <c r="D56" s="93"/>
      <c r="E56" s="93"/>
      <c r="F56" s="93"/>
      <c r="G56" s="93"/>
      <c r="I56" s="14" t="e">
        <f>AVERAGE(C56:G56)</f>
        <v>#DIV/0!</v>
      </c>
      <c r="J56" s="116" t="str">
        <f t="shared" si="6"/>
        <v>-</v>
      </c>
    </row>
    <row r="57" spans="1:10" x14ac:dyDescent="0.25">
      <c r="A57" s="6">
        <v>66</v>
      </c>
      <c r="B57" s="4" t="s">
        <v>47</v>
      </c>
      <c r="C57" s="93"/>
      <c r="D57" s="93"/>
      <c r="E57" s="93"/>
      <c r="F57" s="93"/>
      <c r="G57" s="93"/>
      <c r="I57" s="14" t="e">
        <f>AVERAGE(C57:G57)</f>
        <v>#DIV/0!</v>
      </c>
      <c r="J57" s="116" t="str">
        <f t="shared" si="6"/>
        <v>-</v>
      </c>
    </row>
    <row r="58" spans="1:10" x14ac:dyDescent="0.25">
      <c r="A58" s="6">
        <v>68</v>
      </c>
      <c r="B58" s="4" t="s">
        <v>219</v>
      </c>
      <c r="C58" s="93"/>
      <c r="D58" s="93"/>
      <c r="E58" s="93"/>
      <c r="F58" s="93"/>
      <c r="G58" s="93"/>
      <c r="I58" s="14" t="e">
        <f>AVERAGE(C58:G58)</f>
        <v>#DIV/0!</v>
      </c>
      <c r="J58" s="116" t="str">
        <f t="shared" si="6"/>
        <v>-</v>
      </c>
    </row>
    <row r="59" spans="1:10" x14ac:dyDescent="0.25">
      <c r="A59" s="9" t="s">
        <v>51</v>
      </c>
      <c r="B59" s="9"/>
      <c r="C59" s="10">
        <f>SUM(C54:C58)</f>
        <v>0</v>
      </c>
      <c r="D59" s="10">
        <f>SUM(D54:D58)</f>
        <v>0</v>
      </c>
      <c r="E59" s="10">
        <f>SUM(E54:E58)</f>
        <v>0</v>
      </c>
      <c r="F59" s="10">
        <f>SUM(F54:F58)</f>
        <v>0</v>
      </c>
      <c r="G59" s="10">
        <f>SUM(G54:G58)</f>
        <v>0</v>
      </c>
      <c r="I59" s="10" t="e">
        <f>SUM(I54:I58)</f>
        <v>#DIV/0!</v>
      </c>
      <c r="J59" s="117" t="str">
        <f>IF(OR(G59=0,C59=0,AND(G59&lt;0,C59&gt;0),AND(G59&gt;0,C59&lt;0)),"-",(G59/C59)^(1/4)-1)</f>
        <v>-</v>
      </c>
    </row>
    <row r="60" spans="1:10" ht="4.5" customHeight="1" x14ac:dyDescent="0.25"/>
    <row r="61" spans="1:10" x14ac:dyDescent="0.25">
      <c r="A61" s="4" t="s">
        <v>53</v>
      </c>
      <c r="B61" s="4"/>
      <c r="C61" s="15" t="str">
        <f>IF(ROUND(C51-C59-C62,0)=0,"OK","Erreur")</f>
        <v>OK</v>
      </c>
      <c r="D61" s="15" t="str">
        <f>IF(ROUND(D51-D59-D62,0)=0,"OK","Erreur")</f>
        <v>OK</v>
      </c>
      <c r="E61" s="15" t="str">
        <f>IF(ROUND(E51-E59-E62,0)=0,"OK","Erreur")</f>
        <v>OK</v>
      </c>
      <c r="F61" s="15" t="str">
        <f>IF(ROUND(F51-F59-F62,0)=0,"OK","Erreur")</f>
        <v>OK</v>
      </c>
      <c r="G61" s="15" t="str">
        <f>IF(ROUND(G51-G59-G62,0)=0,"OK","Erreur")</f>
        <v>OK</v>
      </c>
      <c r="I61" s="15" t="e">
        <f>IF(ROUND(I51-I59-I62,0)=0,"OK","Erreur")</f>
        <v>#DIV/0!</v>
      </c>
    </row>
    <row r="62" spans="1:10" x14ac:dyDescent="0.25">
      <c r="A62" s="6" t="s">
        <v>52</v>
      </c>
      <c r="B62" s="4" t="s">
        <v>54</v>
      </c>
      <c r="C62" s="93"/>
      <c r="D62" s="93"/>
      <c r="E62" s="93"/>
      <c r="F62" s="93"/>
      <c r="G62" s="93"/>
      <c r="I62" s="14" t="e">
        <f>I51-I59</f>
        <v>#DIV/0!</v>
      </c>
      <c r="J62" s="116" t="str">
        <f t="shared" ref="J62" si="7">IF(OR(G62=0,C62=0,AND(G62&lt;0,C62&gt;0),AND(G62&gt;0,C62&lt;0)),"-",(G62/C62)^(1/4)-1)</f>
        <v>-</v>
      </c>
    </row>
    <row r="64" spans="1:10" x14ac:dyDescent="0.25">
      <c r="A64" s="5"/>
      <c r="B64" s="5" t="s">
        <v>133</v>
      </c>
      <c r="C64" s="11">
        <f>C21</f>
        <v>0</v>
      </c>
      <c r="D64" s="11">
        <f>D21</f>
        <v>0</v>
      </c>
      <c r="E64" s="11">
        <f>E21</f>
        <v>0</v>
      </c>
      <c r="F64" s="11">
        <f>F21</f>
        <v>0</v>
      </c>
      <c r="G64" s="11">
        <f>G21</f>
        <v>0</v>
      </c>
      <c r="I64" s="11" t="str">
        <f>I3</f>
        <v>Moyenne</v>
      </c>
      <c r="J64" s="107" t="str">
        <f>J3</f>
        <v>Tx croissance</v>
      </c>
    </row>
    <row r="65" spans="1:10" x14ac:dyDescent="0.25">
      <c r="A65" s="6">
        <v>910</v>
      </c>
      <c r="B65" s="4" t="s">
        <v>106</v>
      </c>
      <c r="C65" s="93"/>
      <c r="D65" s="93"/>
      <c r="E65" s="93"/>
      <c r="F65" s="93"/>
      <c r="G65" s="93"/>
      <c r="I65" s="14" t="e">
        <f t="shared" ref="I65:I70" si="8">AVERAGE(C65:G65)</f>
        <v>#DIV/0!</v>
      </c>
      <c r="J65" s="116" t="str">
        <f t="shared" ref="J65:J71" si="9">IF(OR(G65=0,C65=0,AND(G65&lt;0,C65&gt;0),AND(G65&gt;0,C65&lt;0)),"-",(G65/C65)^(1/4)-1)</f>
        <v>-</v>
      </c>
    </row>
    <row r="66" spans="1:10" x14ac:dyDescent="0.25">
      <c r="A66" s="7">
        <v>9111</v>
      </c>
      <c r="B66" s="4" t="s">
        <v>273</v>
      </c>
      <c r="C66" s="94"/>
      <c r="D66" s="94"/>
      <c r="E66" s="94"/>
      <c r="F66" s="94"/>
      <c r="G66" s="94"/>
      <c r="I66" s="14" t="e">
        <f t="shared" si="8"/>
        <v>#DIV/0!</v>
      </c>
      <c r="J66" s="116" t="str">
        <f t="shared" si="9"/>
        <v>-</v>
      </c>
    </row>
    <row r="67" spans="1:10" x14ac:dyDescent="0.25">
      <c r="A67" s="7">
        <v>9120</v>
      </c>
      <c r="B67" s="8" t="s">
        <v>57</v>
      </c>
      <c r="C67" s="94"/>
      <c r="D67" s="94"/>
      <c r="E67" s="94"/>
      <c r="F67" s="94"/>
      <c r="G67" s="94"/>
      <c r="I67" s="14" t="e">
        <f t="shared" si="8"/>
        <v>#DIV/0!</v>
      </c>
      <c r="J67" s="116" t="str">
        <f t="shared" si="9"/>
        <v>-</v>
      </c>
    </row>
    <row r="68" spans="1:10" x14ac:dyDescent="0.25">
      <c r="A68" s="7">
        <v>9122</v>
      </c>
      <c r="B68" s="8" t="s">
        <v>58</v>
      </c>
      <c r="C68" s="94"/>
      <c r="D68" s="94"/>
      <c r="E68" s="94"/>
      <c r="F68" s="94"/>
      <c r="G68" s="94"/>
      <c r="I68" s="14" t="e">
        <f t="shared" si="8"/>
        <v>#DIV/0!</v>
      </c>
      <c r="J68" s="116" t="str">
        <f t="shared" si="9"/>
        <v>-</v>
      </c>
    </row>
    <row r="69" spans="1:10" x14ac:dyDescent="0.25">
      <c r="A69" s="6">
        <v>915</v>
      </c>
      <c r="B69" s="4" t="s">
        <v>274</v>
      </c>
      <c r="C69" s="93"/>
      <c r="D69" s="93"/>
      <c r="E69" s="93"/>
      <c r="F69" s="93"/>
      <c r="G69" s="93"/>
      <c r="I69" s="14" t="e">
        <f t="shared" si="8"/>
        <v>#DIV/0!</v>
      </c>
      <c r="J69" s="116" t="str">
        <f t="shared" si="9"/>
        <v>-</v>
      </c>
    </row>
    <row r="70" spans="1:10" x14ac:dyDescent="0.25">
      <c r="A70" s="21" t="s">
        <v>154</v>
      </c>
      <c r="B70" s="4"/>
      <c r="C70" s="93"/>
      <c r="D70" s="93"/>
      <c r="E70" s="93"/>
      <c r="F70" s="93"/>
      <c r="G70" s="93"/>
      <c r="I70" s="14" t="e">
        <f t="shared" si="8"/>
        <v>#DIV/0!</v>
      </c>
      <c r="J70" s="116" t="str">
        <f t="shared" si="9"/>
        <v>-</v>
      </c>
    </row>
    <row r="71" spans="1:10" x14ac:dyDescent="0.25">
      <c r="A71" s="96">
        <v>0</v>
      </c>
      <c r="B71" s="4" t="s">
        <v>155</v>
      </c>
      <c r="C71" s="14">
        <f>C70*$A$71</f>
        <v>0</v>
      </c>
      <c r="D71" s="14">
        <f>D70*$A$71</f>
        <v>0</v>
      </c>
      <c r="E71" s="14">
        <f>E70*$A$71</f>
        <v>0</v>
      </c>
      <c r="F71" s="14">
        <f>F70*$A$71</f>
        <v>0</v>
      </c>
      <c r="G71" s="14">
        <f>G70*$A$71</f>
        <v>0</v>
      </c>
      <c r="I71" s="14" t="e">
        <f>I70*$A$71</f>
        <v>#DIV/0!</v>
      </c>
      <c r="J71" s="116" t="str">
        <f t="shared" si="9"/>
        <v>-</v>
      </c>
    </row>
    <row r="72" spans="1:10" x14ac:dyDescent="0.25">
      <c r="A72" s="9" t="s">
        <v>59</v>
      </c>
      <c r="B72" s="9"/>
      <c r="C72" s="10">
        <f>IF((SUM(C65:C69))-C71&lt;0,0,(SUM(C65:C69)-C71))</f>
        <v>0</v>
      </c>
      <c r="D72" s="10">
        <f>IF((SUM(D65:D69))-D71&lt;0,0,(SUM(D65:D69)-D71))</f>
        <v>0</v>
      </c>
      <c r="E72" s="10">
        <f>IF((SUM(E65:E69))-E71&lt;0,0,(SUM(E65:E69)-E71))</f>
        <v>0</v>
      </c>
      <c r="F72" s="10">
        <f>IF((SUM(F65:F69))-F71&lt;0,0,(SUM(F65:F69)-F71))</f>
        <v>0</v>
      </c>
      <c r="G72" s="10">
        <f>IF((SUM(G65:G69))-G71&lt;0,0,(SUM(G65:G69)-G71))</f>
        <v>0</v>
      </c>
      <c r="I72" s="10" t="e">
        <f>IF((SUM(I65:I69))-I71&lt;0,0,(SUM(I65:I69)-I71))</f>
        <v>#DIV/0!</v>
      </c>
      <c r="J72" s="117" t="str">
        <f>IF(OR(G72=0,C72=0,AND(G72&lt;0,C72&gt;0),AND(G72&gt;0,C72&lt;0)),"-",(G72/C72)^(1/4)-1)</f>
        <v>-</v>
      </c>
    </row>
    <row r="73" spans="1:10" ht="4.5" customHeight="1" x14ac:dyDescent="0.25"/>
    <row r="74" spans="1:10" x14ac:dyDescent="0.25">
      <c r="A74" s="9" t="s">
        <v>63</v>
      </c>
      <c r="B74" s="9"/>
      <c r="C74" s="10">
        <f>C92-C72</f>
        <v>0</v>
      </c>
      <c r="D74" s="10">
        <f>D92-D72</f>
        <v>0</v>
      </c>
      <c r="E74" s="10">
        <f>E92-E72</f>
        <v>0</v>
      </c>
      <c r="F74" s="10">
        <f>F92-F72</f>
        <v>0</v>
      </c>
      <c r="G74" s="10">
        <f>G92-G72</f>
        <v>0</v>
      </c>
      <c r="I74" s="10" t="e">
        <f>I92-I72</f>
        <v>#DIV/0!</v>
      </c>
      <c r="J74" s="117" t="str">
        <f>IF(OR(G74=0,C74=0,AND(G74&lt;0,C74&gt;0),AND(G74&gt;0,C74&lt;0)),"-",(G74/C74)^(1/4)-1)</f>
        <v>-</v>
      </c>
    </row>
    <row r="76" spans="1:10" x14ac:dyDescent="0.25">
      <c r="A76" s="5"/>
      <c r="B76" s="5" t="s">
        <v>134</v>
      </c>
      <c r="C76" s="11">
        <f>C21</f>
        <v>0</v>
      </c>
      <c r="D76" s="11">
        <f>D21</f>
        <v>0</v>
      </c>
      <c r="E76" s="11">
        <f>E21</f>
        <v>0</v>
      </c>
      <c r="F76" s="11">
        <f>F21</f>
        <v>0</v>
      </c>
      <c r="G76" s="11">
        <f>G21</f>
        <v>0</v>
      </c>
      <c r="I76" s="11" t="str">
        <f>I3</f>
        <v>Moyenne</v>
      </c>
      <c r="J76" s="107" t="str">
        <f>J3</f>
        <v>Tx croissance</v>
      </c>
    </row>
    <row r="77" spans="1:10" x14ac:dyDescent="0.25">
      <c r="A77" s="6">
        <v>910</v>
      </c>
      <c r="B77" s="4" t="s">
        <v>106</v>
      </c>
      <c r="C77" s="14">
        <f t="shared" ref="C77:G77" si="10">C65</f>
        <v>0</v>
      </c>
      <c r="D77" s="14">
        <f t="shared" si="10"/>
        <v>0</v>
      </c>
      <c r="E77" s="14">
        <f t="shared" si="10"/>
        <v>0</v>
      </c>
      <c r="F77" s="14">
        <f t="shared" si="10"/>
        <v>0</v>
      </c>
      <c r="G77" s="14">
        <f t="shared" si="10"/>
        <v>0</v>
      </c>
      <c r="I77" s="14">
        <f t="shared" ref="I77:I83" si="11">AVERAGE(C77:G77)</f>
        <v>0</v>
      </c>
      <c r="J77" s="116" t="str">
        <f t="shared" ref="J77:J84" si="12">IF(OR(G77=0,C77=0,AND(G77&lt;0,C77&gt;0),AND(G77&gt;0,C77&lt;0)),"-",(G77/C77)^(1/4)-1)</f>
        <v>-</v>
      </c>
    </row>
    <row r="78" spans="1:10" x14ac:dyDescent="0.25">
      <c r="A78" s="6">
        <v>911</v>
      </c>
      <c r="B78" s="4" t="s">
        <v>107</v>
      </c>
      <c r="C78" s="93"/>
      <c r="D78" s="93"/>
      <c r="E78" s="93"/>
      <c r="F78" s="93"/>
      <c r="G78" s="93"/>
      <c r="I78" s="14" t="e">
        <f t="shared" si="11"/>
        <v>#DIV/0!</v>
      </c>
      <c r="J78" s="116" t="str">
        <f t="shared" si="12"/>
        <v>-</v>
      </c>
    </row>
    <row r="79" spans="1:10" x14ac:dyDescent="0.25">
      <c r="A79" s="6">
        <v>912</v>
      </c>
      <c r="B79" s="4" t="s">
        <v>108</v>
      </c>
      <c r="C79" s="93"/>
      <c r="D79" s="93"/>
      <c r="E79" s="93"/>
      <c r="F79" s="93"/>
      <c r="G79" s="93"/>
      <c r="I79" s="14" t="e">
        <f t="shared" si="11"/>
        <v>#DIV/0!</v>
      </c>
      <c r="J79" s="116" t="str">
        <f t="shared" si="12"/>
        <v>-</v>
      </c>
    </row>
    <row r="80" spans="1:10" x14ac:dyDescent="0.25">
      <c r="A80" s="7">
        <v>9123</v>
      </c>
      <c r="B80" s="8" t="s">
        <v>220</v>
      </c>
      <c r="C80" s="94"/>
      <c r="D80" s="94"/>
      <c r="E80" s="94"/>
      <c r="F80" s="94"/>
      <c r="G80" s="94"/>
      <c r="I80" s="14" t="e">
        <f t="shared" si="11"/>
        <v>#DIV/0!</v>
      </c>
      <c r="J80" s="116" t="str">
        <f t="shared" si="12"/>
        <v>-</v>
      </c>
    </row>
    <row r="81" spans="1:10" x14ac:dyDescent="0.25">
      <c r="A81" s="6">
        <v>913</v>
      </c>
      <c r="B81" s="4" t="s">
        <v>112</v>
      </c>
      <c r="C81" s="93"/>
      <c r="D81" s="93"/>
      <c r="E81" s="93"/>
      <c r="F81" s="93"/>
      <c r="G81" s="93"/>
      <c r="I81" s="14" t="e">
        <f t="shared" si="11"/>
        <v>#DIV/0!</v>
      </c>
      <c r="J81" s="116" t="str">
        <f t="shared" si="12"/>
        <v>-</v>
      </c>
    </row>
    <row r="82" spans="1:10" x14ac:dyDescent="0.25">
      <c r="A82" s="6">
        <v>920</v>
      </c>
      <c r="B82" s="4" t="s">
        <v>109</v>
      </c>
      <c r="C82" s="93"/>
      <c r="D82" s="93"/>
      <c r="E82" s="93"/>
      <c r="F82" s="93"/>
      <c r="G82" s="93"/>
      <c r="I82" s="14" t="e">
        <f t="shared" si="11"/>
        <v>#DIV/0!</v>
      </c>
      <c r="J82" s="116" t="str">
        <f t="shared" si="12"/>
        <v>-</v>
      </c>
    </row>
    <row r="83" spans="1:10" x14ac:dyDescent="0.25">
      <c r="A83" s="6">
        <f>A91</f>
        <v>923</v>
      </c>
      <c r="B83" s="4" t="str">
        <f>B91</f>
        <v>Engagements envers des entités</v>
      </c>
      <c r="C83" s="93"/>
      <c r="D83" s="93"/>
      <c r="E83" s="93"/>
      <c r="F83" s="93"/>
      <c r="G83" s="93"/>
      <c r="I83" s="14" t="e">
        <f t="shared" si="11"/>
        <v>#DIV/0!</v>
      </c>
      <c r="J83" s="116" t="str">
        <f t="shared" si="12"/>
        <v>-</v>
      </c>
    </row>
    <row r="84" spans="1:10" x14ac:dyDescent="0.25">
      <c r="A84" s="6">
        <v>925</v>
      </c>
      <c r="B84" s="4" t="s">
        <v>110</v>
      </c>
      <c r="C84" s="93"/>
      <c r="D84" s="93"/>
      <c r="E84" s="93"/>
      <c r="F84" s="93"/>
      <c r="G84" s="93"/>
      <c r="I84" s="14" t="e">
        <f>AVERAGE(C84:G84)</f>
        <v>#DIV/0!</v>
      </c>
      <c r="J84" s="116" t="str">
        <f t="shared" si="12"/>
        <v>-</v>
      </c>
    </row>
    <row r="85" spans="1:10" x14ac:dyDescent="0.25">
      <c r="A85" s="9" t="s">
        <v>111</v>
      </c>
      <c r="B85" s="9"/>
      <c r="C85" s="10">
        <f>C77+C78+C79-C80+C81-C82-C84-C83</f>
        <v>0</v>
      </c>
      <c r="D85" s="10">
        <f>D77+D78+D79-D80+D81-D82-D84-D83</f>
        <v>0</v>
      </c>
      <c r="E85" s="10">
        <f>E77+E78+E79-E80+E81-E82-E84-E83</f>
        <v>0</v>
      </c>
      <c r="F85" s="10">
        <f>F77+F78+F79-F80+F81-F82-F84-F83</f>
        <v>0</v>
      </c>
      <c r="G85" s="10">
        <f>G77+G78+G79-G80+G81-G82-G84-G83</f>
        <v>0</v>
      </c>
      <c r="I85" s="10" t="e">
        <f>I77+I78+I79-I80+I81-I82-I84-I83</f>
        <v>#DIV/0!</v>
      </c>
      <c r="J85" s="117" t="str">
        <f>IF(OR(G85=0,C85=0,AND(G85&lt;0,C85&gt;0),AND(G85&gt;0,C85&lt;0)),"-",(G85/C85)^(1/4)-1)</f>
        <v>-</v>
      </c>
    </row>
    <row r="87" spans="1:10" x14ac:dyDescent="0.25">
      <c r="A87" s="5"/>
      <c r="B87" s="5" t="s">
        <v>132</v>
      </c>
      <c r="C87" s="11">
        <f>C21</f>
        <v>0</v>
      </c>
      <c r="D87" s="11">
        <f>D21</f>
        <v>0</v>
      </c>
      <c r="E87" s="11">
        <f>E21</f>
        <v>0</v>
      </c>
      <c r="F87" s="11">
        <f>F21</f>
        <v>0</v>
      </c>
      <c r="G87" s="11">
        <f>G21</f>
        <v>0</v>
      </c>
      <c r="I87" s="11" t="str">
        <f>I3</f>
        <v>Moyenne</v>
      </c>
      <c r="J87" s="107" t="str">
        <f>J3</f>
        <v>Tx croissance</v>
      </c>
    </row>
    <row r="88" spans="1:10" x14ac:dyDescent="0.25">
      <c r="A88" s="7">
        <v>9206</v>
      </c>
      <c r="B88" s="8" t="s">
        <v>272</v>
      </c>
      <c r="C88" s="94"/>
      <c r="D88" s="94"/>
      <c r="E88" s="94"/>
      <c r="F88" s="94"/>
      <c r="G88" s="94"/>
      <c r="I88" s="14" t="e">
        <f>AVERAGE(C88:G88)</f>
        <v>#DIV/0!</v>
      </c>
      <c r="J88" s="116" t="str">
        <f t="shared" ref="J88:J91" si="13">IF(OR(G88=0,C88=0,AND(G88&lt;0,C88&gt;0),AND(G88&gt;0,C88&lt;0)),"-",(G88/C88)^(1/4)-1)</f>
        <v>-</v>
      </c>
    </row>
    <row r="89" spans="1:10" x14ac:dyDescent="0.25">
      <c r="A89" s="6">
        <v>921</v>
      </c>
      <c r="B89" s="4" t="s">
        <v>221</v>
      </c>
      <c r="C89" s="93"/>
      <c r="D89" s="93"/>
      <c r="E89" s="93"/>
      <c r="F89" s="93"/>
      <c r="G89" s="93"/>
      <c r="I89" s="14" t="e">
        <f>AVERAGE(C89:G89)</f>
        <v>#DIV/0!</v>
      </c>
      <c r="J89" s="116" t="str">
        <f t="shared" si="13"/>
        <v>-</v>
      </c>
    </row>
    <row r="90" spans="1:10" x14ac:dyDescent="0.25">
      <c r="A90" s="6">
        <v>922</v>
      </c>
      <c r="B90" s="4" t="s">
        <v>222</v>
      </c>
      <c r="C90" s="93"/>
      <c r="D90" s="93"/>
      <c r="E90" s="93"/>
      <c r="F90" s="93"/>
      <c r="G90" s="93"/>
      <c r="I90" s="14" t="e">
        <f>AVERAGE(C90:G90)</f>
        <v>#DIV/0!</v>
      </c>
      <c r="J90" s="116" t="str">
        <f t="shared" si="13"/>
        <v>-</v>
      </c>
    </row>
    <row r="91" spans="1:10" x14ac:dyDescent="0.25">
      <c r="A91" s="6">
        <v>923</v>
      </c>
      <c r="B91" s="4" t="s">
        <v>55</v>
      </c>
      <c r="C91" s="14">
        <f>C83</f>
        <v>0</v>
      </c>
      <c r="D91" s="14">
        <f>D83</f>
        <v>0</v>
      </c>
      <c r="E91" s="14">
        <f>E83</f>
        <v>0</v>
      </c>
      <c r="F91" s="14">
        <f>F83</f>
        <v>0</v>
      </c>
      <c r="G91" s="14">
        <f>G83</f>
        <v>0</v>
      </c>
      <c r="I91" s="14">
        <f>AVERAGE(C91:G91)</f>
        <v>0</v>
      </c>
      <c r="J91" s="116" t="str">
        <f t="shared" si="13"/>
        <v>-</v>
      </c>
    </row>
    <row r="92" spans="1:10" x14ac:dyDescent="0.25">
      <c r="A92" s="9" t="s">
        <v>56</v>
      </c>
      <c r="B92" s="9"/>
      <c r="C92" s="10">
        <f>SUM(C88:C91)</f>
        <v>0</v>
      </c>
      <c r="D92" s="10">
        <f t="shared" ref="D92:G92" si="14">SUM(D88:D91)</f>
        <v>0</v>
      </c>
      <c r="E92" s="10">
        <f t="shared" si="14"/>
        <v>0</v>
      </c>
      <c r="F92" s="10">
        <f t="shared" si="14"/>
        <v>0</v>
      </c>
      <c r="G92" s="10">
        <f t="shared" si="14"/>
        <v>0</v>
      </c>
      <c r="I92" s="10" t="e">
        <f>SUM(I88:I91)</f>
        <v>#DIV/0!</v>
      </c>
      <c r="J92" s="117" t="str">
        <f>IF(OR(G92=0,C92=0,AND(G92&lt;0,C92&gt;0),AND(G92&gt;0,C92&lt;0)),"-",(G92/C92)^(1/4)-1)</f>
        <v>-</v>
      </c>
    </row>
    <row r="93" spans="1:10" ht="4.5" customHeight="1" x14ac:dyDescent="0.25"/>
    <row r="94" spans="1:10" x14ac:dyDescent="0.25">
      <c r="A94" s="9" t="s">
        <v>178</v>
      </c>
      <c r="B94" s="9"/>
      <c r="C94" s="104">
        <f>IF(C92&lt;=0,0,(C7+C8)/C92)</f>
        <v>0</v>
      </c>
      <c r="D94" s="104">
        <f>IF(D92&lt;=0,0,(D7+D8)/D92)</f>
        <v>0</v>
      </c>
      <c r="E94" s="104">
        <f>IF(E92&lt;=0,0,(E7+E8)/E92)</f>
        <v>0</v>
      </c>
      <c r="F94" s="104">
        <f>IF(F92&lt;=0,0,(F7+F8)/F92)</f>
        <v>0</v>
      </c>
      <c r="G94" s="104">
        <f>IF(G92&lt;=0,0,(G7+G8)/G92)</f>
        <v>0</v>
      </c>
      <c r="I94" s="104" t="e">
        <f>IF(I92&lt;=0,0,(I7+I8)/I92)</f>
        <v>#DIV/0!</v>
      </c>
      <c r="J94" s="117" t="str">
        <f>IF(OR(G94=0,C94=0,AND(G94&lt;0,C94&gt;0),AND(G94&gt;0,C94&lt;0)),"-",(G94/C94)^(1/4)-1)</f>
        <v>-</v>
      </c>
    </row>
    <row r="96" spans="1:10" x14ac:dyDescent="0.25">
      <c r="A96" s="5"/>
      <c r="B96" s="5" t="s">
        <v>135</v>
      </c>
      <c r="C96" s="11">
        <f>C21</f>
        <v>0</v>
      </c>
      <c r="D96" s="11">
        <f>D21</f>
        <v>0</v>
      </c>
      <c r="E96" s="11">
        <f>E21</f>
        <v>0</v>
      </c>
      <c r="F96" s="11">
        <f>F21</f>
        <v>0</v>
      </c>
      <c r="G96" s="11">
        <f>G21</f>
        <v>0</v>
      </c>
      <c r="I96" s="11" t="str">
        <f>I3</f>
        <v>Moyenne</v>
      </c>
      <c r="J96" s="107" t="str">
        <f>J3</f>
        <v>Tx croissance</v>
      </c>
    </row>
    <row r="97" spans="1:10" x14ac:dyDescent="0.25">
      <c r="A97" s="7">
        <v>9280</v>
      </c>
      <c r="B97" s="8" t="s">
        <v>102</v>
      </c>
      <c r="C97" s="94"/>
      <c r="D97" s="94"/>
      <c r="E97" s="94"/>
      <c r="F97" s="94"/>
      <c r="G97" s="94"/>
      <c r="I97" s="14" t="e">
        <f>AVERAGE(C97:G97)</f>
        <v>#DIV/0!</v>
      </c>
      <c r="J97" s="116" t="str">
        <f t="shared" ref="J97:J99" si="15">IF(OR(G97=0,C97=0,AND(G97&lt;0,C97&gt;0),AND(G97&gt;0,C97&lt;0)),"-",(G97/C97)^(1/4)-1)</f>
        <v>-</v>
      </c>
    </row>
    <row r="98" spans="1:10" x14ac:dyDescent="0.25">
      <c r="A98" s="7">
        <v>9281</v>
      </c>
      <c r="B98" s="8" t="s">
        <v>103</v>
      </c>
      <c r="C98" s="94"/>
      <c r="D98" s="94"/>
      <c r="E98" s="94"/>
      <c r="F98" s="94"/>
      <c r="G98" s="94"/>
      <c r="I98" s="14" t="e">
        <f>AVERAGE(C98:G98)</f>
        <v>#DIV/0!</v>
      </c>
      <c r="J98" s="116" t="str">
        <f t="shared" si="15"/>
        <v>-</v>
      </c>
    </row>
    <row r="99" spans="1:10" x14ac:dyDescent="0.25">
      <c r="A99" s="7">
        <v>9282</v>
      </c>
      <c r="B99" s="8" t="s">
        <v>104</v>
      </c>
      <c r="C99" s="94"/>
      <c r="D99" s="94"/>
      <c r="E99" s="94"/>
      <c r="F99" s="94"/>
      <c r="G99" s="94"/>
      <c r="I99" s="14" t="e">
        <f>AVERAGE(C99:G99)</f>
        <v>#DIV/0!</v>
      </c>
      <c r="J99" s="116" t="str">
        <f t="shared" si="15"/>
        <v>-</v>
      </c>
    </row>
    <row r="100" spans="1:10" x14ac:dyDescent="0.25">
      <c r="A100" s="9" t="s">
        <v>105</v>
      </c>
      <c r="B100" s="9"/>
      <c r="C100" s="10">
        <f>SUM(C97:C99)</f>
        <v>0</v>
      </c>
      <c r="D100" s="10">
        <f>SUM(D97:D99)</f>
        <v>0</v>
      </c>
      <c r="E100" s="10">
        <f>SUM(E97:E99)</f>
        <v>0</v>
      </c>
      <c r="F100" s="10">
        <f>SUM(F97:F99)</f>
        <v>0</v>
      </c>
      <c r="G100" s="10">
        <f>SUM(G97:G99)</f>
        <v>0</v>
      </c>
      <c r="I100" s="10" t="e">
        <f>SUM(I97:I99)</f>
        <v>#DIV/0!</v>
      </c>
      <c r="J100" s="117" t="str">
        <f>IF(OR(G100=0,C100=0,AND(G100&lt;0,C100&gt;0),AND(G100&gt;0,C100&lt;0)),"-",(G100/C100)^(1/4)-1)</f>
        <v>-</v>
      </c>
    </row>
    <row r="102" spans="1:10" x14ac:dyDescent="0.25">
      <c r="A102" s="5"/>
      <c r="B102" s="5" t="s">
        <v>136</v>
      </c>
      <c r="C102" s="11">
        <f>C21</f>
        <v>0</v>
      </c>
      <c r="D102" s="11">
        <f>D21</f>
        <v>0</v>
      </c>
      <c r="E102" s="11">
        <f>E21</f>
        <v>0</v>
      </c>
      <c r="F102" s="11">
        <f>F21</f>
        <v>0</v>
      </c>
      <c r="G102" s="11">
        <f>G21</f>
        <v>0</v>
      </c>
      <c r="I102" s="11" t="str">
        <f>I3</f>
        <v>Moyenne</v>
      </c>
      <c r="J102" s="107" t="str">
        <f>J3</f>
        <v>Tx croissance</v>
      </c>
    </row>
    <row r="103" spans="1:10" x14ac:dyDescent="0.25">
      <c r="A103" s="4"/>
      <c r="B103" s="4" t="s">
        <v>121</v>
      </c>
      <c r="C103" s="111"/>
      <c r="D103" s="111"/>
      <c r="E103" s="111"/>
      <c r="F103" s="111"/>
      <c r="G103" s="111"/>
      <c r="I103" s="108" t="e">
        <f>AVERAGE(C103:G103)</f>
        <v>#DIV/0!</v>
      </c>
      <c r="J103" s="116" t="str">
        <f t="shared" ref="J103" si="16">IF(OR(G103=0,C103=0,AND(G103&lt;0,C103&gt;0),AND(G103&gt;0,C103&lt;0)),"-",(G103/C103)^(1/4)-1)</f>
        <v>-</v>
      </c>
    </row>
    <row r="105" spans="1:10" x14ac:dyDescent="0.25">
      <c r="A105" s="5"/>
      <c r="B105" s="5" t="s">
        <v>152</v>
      </c>
      <c r="C105" s="11">
        <f>C21</f>
        <v>0</v>
      </c>
      <c r="D105" s="11">
        <f>D21</f>
        <v>0</v>
      </c>
      <c r="E105" s="11">
        <f>E21</f>
        <v>0</v>
      </c>
      <c r="F105" s="11">
        <f>F21</f>
        <v>0</v>
      </c>
      <c r="G105" s="11">
        <f>G21</f>
        <v>0</v>
      </c>
    </row>
    <row r="106" spans="1:10" x14ac:dyDescent="0.25">
      <c r="A106" s="91">
        <v>3301</v>
      </c>
      <c r="B106" s="8" t="s">
        <v>251</v>
      </c>
      <c r="C106" s="94"/>
      <c r="D106" s="94"/>
      <c r="E106" s="94"/>
      <c r="F106" s="94"/>
      <c r="G106" s="94"/>
    </row>
    <row r="107" spans="1:10" x14ac:dyDescent="0.25">
      <c r="A107" s="91">
        <v>3302</v>
      </c>
      <c r="B107" s="8" t="s">
        <v>153</v>
      </c>
      <c r="C107" s="94"/>
      <c r="D107" s="94"/>
      <c r="E107" s="94"/>
      <c r="F107" s="94"/>
      <c r="G107" s="94"/>
    </row>
    <row r="108" spans="1:10" x14ac:dyDescent="0.25">
      <c r="A108" s="106">
        <v>3309</v>
      </c>
      <c r="B108" s="8" t="s">
        <v>223</v>
      </c>
      <c r="C108" s="94"/>
      <c r="D108" s="94"/>
      <c r="E108" s="94"/>
      <c r="F108" s="94"/>
      <c r="G108" s="94"/>
    </row>
    <row r="109" spans="1:10" x14ac:dyDescent="0.25">
      <c r="A109" s="9" t="s">
        <v>226</v>
      </c>
      <c r="B109" s="105"/>
      <c r="C109" s="10">
        <f>SUM(C106:C108)</f>
        <v>0</v>
      </c>
      <c r="D109" s="10">
        <f>SUM(D106:D108)</f>
        <v>0</v>
      </c>
      <c r="E109" s="10">
        <f>SUM(E106:E108)</f>
        <v>0</v>
      </c>
      <c r="F109" s="10">
        <f>SUM(F106:F108)</f>
        <v>0</v>
      </c>
      <c r="G109" s="10">
        <f>SUM(G106:G108)</f>
        <v>0</v>
      </c>
    </row>
    <row r="111" spans="1:10" x14ac:dyDescent="0.25">
      <c r="A111" s="5"/>
      <c r="B111" s="5" t="s">
        <v>256</v>
      </c>
      <c r="C111" s="11">
        <f>C21</f>
        <v>0</v>
      </c>
      <c r="D111" s="11">
        <f>D21</f>
        <v>0</v>
      </c>
      <c r="E111" s="11">
        <f>E21</f>
        <v>0</v>
      </c>
      <c r="F111" s="11">
        <f>F21</f>
        <v>0</v>
      </c>
      <c r="G111" s="11">
        <f>G21</f>
        <v>0</v>
      </c>
    </row>
    <row r="112" spans="1:10" x14ac:dyDescent="0.25">
      <c r="A112" s="91"/>
      <c r="B112" s="8" t="s">
        <v>253</v>
      </c>
      <c r="C112" s="94"/>
      <c r="D112" s="94"/>
      <c r="E112" s="94"/>
      <c r="F112" s="94"/>
      <c r="G112" s="94"/>
    </row>
    <row r="113" spans="1:10" x14ac:dyDescent="0.25">
      <c r="A113" s="9" t="s">
        <v>254</v>
      </c>
      <c r="B113" s="105"/>
      <c r="C113" s="10">
        <f>SUM(C112:C112)</f>
        <v>0</v>
      </c>
      <c r="D113" s="10">
        <f>SUM(D112:D112)</f>
        <v>0</v>
      </c>
      <c r="E113" s="10">
        <f>SUM(E112:E112)</f>
        <v>0</v>
      </c>
      <c r="F113" s="10">
        <f>SUM(F112:F112)</f>
        <v>0</v>
      </c>
      <c r="G113" s="10">
        <f>SUM(G112:G112)</f>
        <v>0</v>
      </c>
    </row>
    <row r="114" spans="1:10" x14ac:dyDescent="0.25">
      <c r="A114" s="109" t="s">
        <v>227</v>
      </c>
      <c r="I114" s="2"/>
    </row>
    <row r="115" spans="1:10" x14ac:dyDescent="0.25">
      <c r="A115" s="110">
        <v>16</v>
      </c>
      <c r="B115" s="93" t="s">
        <v>277</v>
      </c>
      <c r="C115" s="11">
        <f>C21</f>
        <v>0</v>
      </c>
      <c r="D115" s="11">
        <f t="shared" ref="D115:G115" si="17">D21</f>
        <v>0</v>
      </c>
      <c r="E115" s="11">
        <f t="shared" si="17"/>
        <v>0</v>
      </c>
      <c r="F115" s="11">
        <f t="shared" si="17"/>
        <v>0</v>
      </c>
      <c r="G115" s="11">
        <f t="shared" si="17"/>
        <v>0</v>
      </c>
      <c r="I115" s="11" t="s">
        <v>229</v>
      </c>
      <c r="J115" s="107" t="str">
        <f>J3</f>
        <v>Tx croissance</v>
      </c>
    </row>
    <row r="116" spans="1:10" x14ac:dyDescent="0.25">
      <c r="A116" s="91">
        <v>3</v>
      </c>
      <c r="B116" s="8" t="s">
        <v>230</v>
      </c>
      <c r="C116" s="94"/>
      <c r="D116" s="94"/>
      <c r="E116" s="94"/>
      <c r="F116" s="94"/>
      <c r="G116" s="94"/>
      <c r="I116" s="15">
        <f t="shared" ref="I116:I119" si="18">SUM(C116:G116)</f>
        <v>0</v>
      </c>
      <c r="J116" s="116" t="str">
        <f t="shared" ref="J116:J119" si="19">IF(OR(G116=0,C116=0,AND(G116&lt;0,C116&gt;0),AND(G116&gt;0,C116&lt;0)),"-",(G116/C116)^(1/4)-1)</f>
        <v>-</v>
      </c>
    </row>
    <row r="117" spans="1:10" x14ac:dyDescent="0.25">
      <c r="A117" s="91">
        <v>4</v>
      </c>
      <c r="B117" s="8" t="s">
        <v>231</v>
      </c>
      <c r="C117" s="94"/>
      <c r="D117" s="94"/>
      <c r="E117" s="94"/>
      <c r="F117" s="94"/>
      <c r="G117" s="94"/>
      <c r="I117" s="15">
        <f t="shared" si="18"/>
        <v>0</v>
      </c>
      <c r="J117" s="116" t="str">
        <f t="shared" si="19"/>
        <v>-</v>
      </c>
    </row>
    <row r="118" spans="1:10" x14ac:dyDescent="0.25">
      <c r="A118" s="91">
        <v>381</v>
      </c>
      <c r="B118" s="8" t="s">
        <v>19</v>
      </c>
      <c r="C118" s="94"/>
      <c r="D118" s="94"/>
      <c r="E118" s="94"/>
      <c r="F118" s="94"/>
      <c r="G118" s="94"/>
      <c r="I118" s="15">
        <f t="shared" si="18"/>
        <v>0</v>
      </c>
      <c r="J118" s="116" t="str">
        <f t="shared" si="19"/>
        <v>-</v>
      </c>
    </row>
    <row r="119" spans="1:10" x14ac:dyDescent="0.25">
      <c r="A119" s="91">
        <v>481</v>
      </c>
      <c r="B119" s="8" t="s">
        <v>20</v>
      </c>
      <c r="C119" s="94"/>
      <c r="D119" s="94"/>
      <c r="E119" s="94"/>
      <c r="F119" s="94"/>
      <c r="G119" s="94"/>
      <c r="I119" s="15">
        <f t="shared" si="18"/>
        <v>0</v>
      </c>
      <c r="J119" s="116" t="str">
        <f t="shared" si="19"/>
        <v>-</v>
      </c>
    </row>
    <row r="120" spans="1:10" x14ac:dyDescent="0.25">
      <c r="A120" s="109"/>
      <c r="I120" s="2"/>
    </row>
    <row r="121" spans="1:10" x14ac:dyDescent="0.25">
      <c r="A121" s="110">
        <v>45</v>
      </c>
      <c r="B121" s="93" t="s">
        <v>228</v>
      </c>
      <c r="C121" s="11">
        <f>C21</f>
        <v>0</v>
      </c>
      <c r="D121" s="11">
        <f>D21</f>
        <v>0</v>
      </c>
      <c r="E121" s="11">
        <f>E21</f>
        <v>0</v>
      </c>
      <c r="F121" s="11">
        <f>F21</f>
        <v>0</v>
      </c>
      <c r="G121" s="11">
        <f>G21</f>
        <v>0</v>
      </c>
      <c r="I121" s="11" t="str">
        <f>I115</f>
        <v>Somme</v>
      </c>
      <c r="J121" s="107" t="str">
        <f>J3</f>
        <v>Tx croissance</v>
      </c>
    </row>
    <row r="122" spans="1:10" x14ac:dyDescent="0.25">
      <c r="A122" s="91">
        <v>3</v>
      </c>
      <c r="B122" s="8" t="s">
        <v>230</v>
      </c>
      <c r="C122" s="94"/>
      <c r="D122" s="94"/>
      <c r="E122" s="94"/>
      <c r="F122" s="94"/>
      <c r="G122" s="94"/>
      <c r="I122" s="15">
        <f t="shared" ref="I122:I137" si="20">SUM(C122:G122)</f>
        <v>0</v>
      </c>
      <c r="J122" s="116" t="str">
        <f t="shared" ref="J122:J125" si="21">IF(OR(G122=0,C122=0,AND(G122&lt;0,C122&gt;0),AND(G122&gt;0,C122&lt;0)),"-",(G122/C122)^(1/4)-1)</f>
        <v>-</v>
      </c>
    </row>
    <row r="123" spans="1:10" x14ac:dyDescent="0.25">
      <c r="A123" s="91">
        <v>4</v>
      </c>
      <c r="B123" s="8" t="s">
        <v>231</v>
      </c>
      <c r="C123" s="94"/>
      <c r="D123" s="94"/>
      <c r="E123" s="94"/>
      <c r="F123" s="94"/>
      <c r="G123" s="94"/>
      <c r="I123" s="15">
        <f t="shared" si="20"/>
        <v>0</v>
      </c>
      <c r="J123" s="116" t="str">
        <f t="shared" si="21"/>
        <v>-</v>
      </c>
    </row>
    <row r="124" spans="1:10" x14ac:dyDescent="0.25">
      <c r="A124" s="91">
        <v>381</v>
      </c>
      <c r="B124" s="8" t="s">
        <v>19</v>
      </c>
      <c r="C124" s="94"/>
      <c r="D124" s="94"/>
      <c r="E124" s="94"/>
      <c r="F124" s="94"/>
      <c r="G124" s="94"/>
      <c r="I124" s="15">
        <f t="shared" si="20"/>
        <v>0</v>
      </c>
      <c r="J124" s="116" t="str">
        <f t="shared" si="21"/>
        <v>-</v>
      </c>
    </row>
    <row r="125" spans="1:10" x14ac:dyDescent="0.25">
      <c r="A125" s="91">
        <v>481</v>
      </c>
      <c r="B125" s="8" t="s">
        <v>20</v>
      </c>
      <c r="C125" s="94"/>
      <c r="D125" s="94"/>
      <c r="E125" s="94"/>
      <c r="F125" s="94"/>
      <c r="G125" s="94"/>
      <c r="I125" s="15">
        <f t="shared" si="20"/>
        <v>0</v>
      </c>
      <c r="J125" s="116" t="str">
        <f t="shared" si="21"/>
        <v>-</v>
      </c>
    </row>
    <row r="126" spans="1:10" x14ac:dyDescent="0.25">
      <c r="I126" s="2"/>
    </row>
    <row r="127" spans="1:10" x14ac:dyDescent="0.25">
      <c r="A127" s="110">
        <v>46</v>
      </c>
      <c r="B127" s="93" t="s">
        <v>232</v>
      </c>
      <c r="C127" s="11">
        <f>C21</f>
        <v>0</v>
      </c>
      <c r="D127" s="11">
        <f>D21</f>
        <v>0</v>
      </c>
      <c r="E127" s="11">
        <f>E21</f>
        <v>0</v>
      </c>
      <c r="F127" s="11">
        <f>F21</f>
        <v>0</v>
      </c>
      <c r="G127" s="11">
        <f>G21</f>
        <v>0</v>
      </c>
      <c r="I127" s="11" t="str">
        <f>I121</f>
        <v>Somme</v>
      </c>
      <c r="J127" s="107" t="str">
        <f>J3</f>
        <v>Tx croissance</v>
      </c>
    </row>
    <row r="128" spans="1:10" x14ac:dyDescent="0.25">
      <c r="A128" s="91">
        <v>3</v>
      </c>
      <c r="B128" s="8" t="s">
        <v>230</v>
      </c>
      <c r="C128" s="94"/>
      <c r="D128" s="94"/>
      <c r="E128" s="94"/>
      <c r="F128" s="94"/>
      <c r="G128" s="94"/>
      <c r="I128" s="15">
        <f t="shared" si="20"/>
        <v>0</v>
      </c>
      <c r="J128" s="116" t="str">
        <f t="shared" ref="J128:J131" si="22">IF(OR(G128=0,C128=0,AND(G128&lt;0,C128&gt;0),AND(G128&gt;0,C128&lt;0)),"-",(G128/C128)^(1/4)-1)</f>
        <v>-</v>
      </c>
    </row>
    <row r="129" spans="1:10" x14ac:dyDescent="0.25">
      <c r="A129" s="91">
        <v>4</v>
      </c>
      <c r="B129" s="8" t="s">
        <v>231</v>
      </c>
      <c r="C129" s="94"/>
      <c r="D129" s="94"/>
      <c r="E129" s="94"/>
      <c r="F129" s="94"/>
      <c r="G129" s="94"/>
      <c r="I129" s="15">
        <f t="shared" si="20"/>
        <v>0</v>
      </c>
      <c r="J129" s="116" t="str">
        <f t="shared" si="22"/>
        <v>-</v>
      </c>
    </row>
    <row r="130" spans="1:10" x14ac:dyDescent="0.25">
      <c r="A130" s="91">
        <v>381</v>
      </c>
      <c r="B130" s="8" t="s">
        <v>19</v>
      </c>
      <c r="C130" s="94"/>
      <c r="D130" s="94"/>
      <c r="E130" s="94"/>
      <c r="F130" s="94"/>
      <c r="G130" s="94"/>
      <c r="I130" s="15">
        <f t="shared" si="20"/>
        <v>0</v>
      </c>
      <c r="J130" s="116" t="str">
        <f t="shared" si="22"/>
        <v>-</v>
      </c>
    </row>
    <row r="131" spans="1:10" x14ac:dyDescent="0.25">
      <c r="A131" s="91">
        <v>481</v>
      </c>
      <c r="B131" s="8" t="s">
        <v>20</v>
      </c>
      <c r="C131" s="94"/>
      <c r="D131" s="94"/>
      <c r="E131" s="94"/>
      <c r="F131" s="94"/>
      <c r="G131" s="94"/>
      <c r="I131" s="15">
        <f t="shared" si="20"/>
        <v>0</v>
      </c>
      <c r="J131" s="116" t="str">
        <f t="shared" si="22"/>
        <v>-</v>
      </c>
    </row>
    <row r="132" spans="1:10" x14ac:dyDescent="0.25">
      <c r="I132" s="2"/>
    </row>
    <row r="133" spans="1:10" x14ac:dyDescent="0.25">
      <c r="A133" s="110">
        <v>81</v>
      </c>
      <c r="B133" s="93" t="s">
        <v>257</v>
      </c>
      <c r="C133" s="11">
        <f>C21</f>
        <v>0</v>
      </c>
      <c r="D133" s="11">
        <f>D21</f>
        <v>0</v>
      </c>
      <c r="E133" s="11">
        <f>E21</f>
        <v>0</v>
      </c>
      <c r="F133" s="11">
        <f>F21</f>
        <v>0</v>
      </c>
      <c r="G133" s="11">
        <f>G21</f>
        <v>0</v>
      </c>
      <c r="I133" s="11" t="str">
        <f>I121</f>
        <v>Somme</v>
      </c>
      <c r="J133" s="107" t="str">
        <f>J3</f>
        <v>Tx croissance</v>
      </c>
    </row>
    <row r="134" spans="1:10" x14ac:dyDescent="0.25">
      <c r="A134" s="91">
        <v>3</v>
      </c>
      <c r="B134" s="8" t="s">
        <v>230</v>
      </c>
      <c r="C134" s="94"/>
      <c r="D134" s="94"/>
      <c r="E134" s="94"/>
      <c r="F134" s="94"/>
      <c r="G134" s="94"/>
      <c r="I134" s="15">
        <f t="shared" si="20"/>
        <v>0</v>
      </c>
      <c r="J134" s="116" t="str">
        <f t="shared" ref="J134:J137" si="23">IF(OR(G134=0,C134=0,AND(G134&lt;0,C134&gt;0),AND(G134&gt;0,C134&lt;0)),"-",(G134/C134)^(1/4)-1)</f>
        <v>-</v>
      </c>
    </row>
    <row r="135" spans="1:10" x14ac:dyDescent="0.25">
      <c r="A135" s="91">
        <v>4</v>
      </c>
      <c r="B135" s="8" t="s">
        <v>231</v>
      </c>
      <c r="C135" s="94"/>
      <c r="D135" s="94"/>
      <c r="E135" s="94"/>
      <c r="F135" s="94"/>
      <c r="G135" s="94"/>
      <c r="I135" s="15">
        <f t="shared" si="20"/>
        <v>0</v>
      </c>
      <c r="J135" s="116" t="str">
        <f t="shared" si="23"/>
        <v>-</v>
      </c>
    </row>
    <row r="136" spans="1:10" x14ac:dyDescent="0.25">
      <c r="A136" s="91">
        <v>381</v>
      </c>
      <c r="B136" s="8" t="s">
        <v>19</v>
      </c>
      <c r="C136" s="94"/>
      <c r="D136" s="94"/>
      <c r="E136" s="94"/>
      <c r="F136" s="94"/>
      <c r="G136" s="94"/>
      <c r="I136" s="15">
        <f t="shared" si="20"/>
        <v>0</v>
      </c>
      <c r="J136" s="116" t="str">
        <f t="shared" si="23"/>
        <v>-</v>
      </c>
    </row>
    <row r="137" spans="1:10" x14ac:dyDescent="0.25">
      <c r="A137" s="91">
        <v>481</v>
      </c>
      <c r="B137" s="8" t="s">
        <v>20</v>
      </c>
      <c r="C137" s="94"/>
      <c r="D137" s="94"/>
      <c r="E137" s="94"/>
      <c r="F137" s="94"/>
      <c r="G137" s="94"/>
      <c r="I137" s="15">
        <f t="shared" si="20"/>
        <v>0</v>
      </c>
      <c r="J137" s="116" t="str">
        <f t="shared" si="23"/>
        <v>-</v>
      </c>
    </row>
  </sheetData>
  <sheetProtection algorithmName="SHA-512" hashValue="KL+fcbyjZ08FoUwLkiQNacB7snw3+QllfwBAe75W9ve7Ew+ecdYwQ14gtiYMPidgPu2ZVDHKQ+Hmsl4csbSPqw==" saltValue="CjOkHtvJ+SwZfSmN9Kj4Lg==" spinCount="100000" sheet="1" sort="0" autoFilter="0"/>
  <customSheetViews>
    <customSheetView guid="{8FA47B43-BA6D-4089-B9C0-4EA64D53BE1E}" scale="90">
      <selection activeCell="T29" sqref="T29"/>
      <pageMargins left="0.25" right="0.25" top="0.75" bottom="0.75" header="0.3" footer="0.3"/>
      <pageSetup paperSize="9" orientation="portrait" r:id="rId1"/>
      <headerFooter>
        <oddHeader>&amp;C&amp;A</oddHeader>
        <oddFooter>&amp;L&amp;8Fichier d'analyse réalisé par l'UCV
conseils@ucv.ch&amp;C&amp;G&amp;R&amp;P/&amp;N</oddFooter>
      </headerFooter>
    </customSheetView>
  </customSheetViews>
  <mergeCells count="2">
    <mergeCell ref="D1:F1"/>
    <mergeCell ref="G1:I1"/>
  </mergeCells>
  <phoneticPr fontId="10" type="noConversion"/>
  <conditionalFormatting sqref="C42:G42 C44:G44">
    <cfRule type="cellIs" dxfId="118" priority="17" operator="equal">
      <formula>"Erreur"</formula>
    </cfRule>
    <cfRule type="cellIs" dxfId="117" priority="18" operator="equal">
      <formula>"OK"</formula>
    </cfRule>
  </conditionalFormatting>
  <conditionalFormatting sqref="C61:G61">
    <cfRule type="cellIs" dxfId="116" priority="15" operator="equal">
      <formula>"Erreur"</formula>
    </cfRule>
    <cfRule type="cellIs" dxfId="115" priority="16" operator="equal">
      <formula>"OK"</formula>
    </cfRule>
  </conditionalFormatting>
  <conditionalFormatting sqref="I42 I44">
    <cfRule type="cellIs" dxfId="114" priority="13" operator="equal">
      <formula>"Erreur"</formula>
    </cfRule>
    <cfRule type="cellIs" dxfId="113" priority="14" operator="equal">
      <formula>"OK"</formula>
    </cfRule>
  </conditionalFormatting>
  <conditionalFormatting sqref="I61">
    <cfRule type="cellIs" dxfId="112" priority="11" operator="equal">
      <formula>"Erreur"</formula>
    </cfRule>
    <cfRule type="cellIs" dxfId="111" priority="12" operator="equal">
      <formula>"OK"</formula>
    </cfRule>
  </conditionalFormatting>
  <conditionalFormatting sqref="C43:G43">
    <cfRule type="cellIs" dxfId="110" priority="1" operator="equal">
      <formula>"Erreur"</formula>
    </cfRule>
    <cfRule type="cellIs" dxfId="109" priority="2" operator="equal">
      <formula>"OK"</formula>
    </cfRule>
  </conditionalFormatting>
  <pageMargins left="0.25" right="0.25" top="0.75" bottom="0.75" header="0.3" footer="0.3"/>
  <pageSetup paperSize="9" orientation="landscape" r:id="rId2"/>
  <headerFooter>
    <oddHeader>&amp;LV6.0&amp;C&amp;A&amp;R&amp;D</oddHeader>
    <oddFooter>&amp;L&amp;8Fichier d'analyse réalisé par l'UCV
conseils@ucv.ch&amp;C&amp;G&amp;R&amp;P/&amp;N</oddFooter>
  </headerFooter>
  <rowBreaks count="1" manualBreakCount="1">
    <brk id="113" max="9" man="1"/>
  </rowBreak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10</xdr:col>
                    <xdr:colOff>123825</xdr:colOff>
                    <xdr:row>2</xdr:row>
                    <xdr:rowOff>123825</xdr:rowOff>
                  </from>
                  <to>
                    <xdr:col>15</xdr:col>
                    <xdr:colOff>314325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123825</xdr:colOff>
                    <xdr:row>3</xdr:row>
                    <xdr:rowOff>142875</xdr:rowOff>
                  </from>
                  <to>
                    <xdr:col>16</xdr:col>
                    <xdr:colOff>28575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10</xdr:col>
                    <xdr:colOff>123825</xdr:colOff>
                    <xdr:row>4</xdr:row>
                    <xdr:rowOff>133350</xdr:rowOff>
                  </from>
                  <to>
                    <xdr:col>15</xdr:col>
                    <xdr:colOff>438150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10</xdr:col>
                    <xdr:colOff>123825</xdr:colOff>
                    <xdr:row>5</xdr:row>
                    <xdr:rowOff>133350</xdr:rowOff>
                  </from>
                  <to>
                    <xdr:col>15</xdr:col>
                    <xdr:colOff>428625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10</xdr:col>
                    <xdr:colOff>123825</xdr:colOff>
                    <xdr:row>6</xdr:row>
                    <xdr:rowOff>142875</xdr:rowOff>
                  </from>
                  <to>
                    <xdr:col>16</xdr:col>
                    <xdr:colOff>76200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10</xdr:col>
                    <xdr:colOff>123825</xdr:colOff>
                    <xdr:row>8</xdr:row>
                    <xdr:rowOff>0</xdr:rowOff>
                  </from>
                  <to>
                    <xdr:col>15</xdr:col>
                    <xdr:colOff>504825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10</xdr:col>
                    <xdr:colOff>123825</xdr:colOff>
                    <xdr:row>8</xdr:row>
                    <xdr:rowOff>133350</xdr:rowOff>
                  </from>
                  <to>
                    <xdr:col>17</xdr:col>
                    <xdr:colOff>104775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10</xdr:col>
                    <xdr:colOff>123825</xdr:colOff>
                    <xdr:row>9</xdr:row>
                    <xdr:rowOff>142875</xdr:rowOff>
                  </from>
                  <to>
                    <xdr:col>19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10</xdr:col>
                    <xdr:colOff>123825</xdr:colOff>
                    <xdr:row>11</xdr:row>
                    <xdr:rowOff>0</xdr:rowOff>
                  </from>
                  <to>
                    <xdr:col>18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10</xdr:col>
                    <xdr:colOff>123825</xdr:colOff>
                    <xdr:row>12</xdr:row>
                    <xdr:rowOff>19050</xdr:rowOff>
                  </from>
                  <to>
                    <xdr:col>17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10</xdr:col>
                    <xdr:colOff>123825</xdr:colOff>
                    <xdr:row>13</xdr:row>
                    <xdr:rowOff>9525</xdr:rowOff>
                  </from>
                  <to>
                    <xdr:col>18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10</xdr:col>
                    <xdr:colOff>123825</xdr:colOff>
                    <xdr:row>14</xdr:row>
                    <xdr:rowOff>0</xdr:rowOff>
                  </from>
                  <to>
                    <xdr:col>15</xdr:col>
                    <xdr:colOff>371475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10</xdr:col>
                    <xdr:colOff>123825</xdr:colOff>
                    <xdr:row>15</xdr:row>
                    <xdr:rowOff>9525</xdr:rowOff>
                  </from>
                  <to>
                    <xdr:col>18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10</xdr:col>
                    <xdr:colOff>123825</xdr:colOff>
                    <xdr:row>15</xdr:row>
                    <xdr:rowOff>142875</xdr:rowOff>
                  </from>
                  <to>
                    <xdr:col>17</xdr:col>
                    <xdr:colOff>333375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10</xdr:col>
                    <xdr:colOff>123825</xdr:colOff>
                    <xdr:row>16</xdr:row>
                    <xdr:rowOff>133350</xdr:rowOff>
                  </from>
                  <to>
                    <xdr:col>15</xdr:col>
                    <xdr:colOff>438150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10</xdr:col>
                    <xdr:colOff>123825</xdr:colOff>
                    <xdr:row>20</xdr:row>
                    <xdr:rowOff>142875</xdr:rowOff>
                  </from>
                  <to>
                    <xdr:col>14</xdr:col>
                    <xdr:colOff>133350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0</xdr:rowOff>
                  </from>
                  <to>
                    <xdr:col>17</xdr:col>
                    <xdr:colOff>152400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10</xdr:col>
                    <xdr:colOff>123825</xdr:colOff>
                    <xdr:row>23</xdr:row>
                    <xdr:rowOff>142875</xdr:rowOff>
                  </from>
                  <to>
                    <xdr:col>15</xdr:col>
                    <xdr:colOff>342900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10</xdr:col>
                    <xdr:colOff>123825</xdr:colOff>
                    <xdr:row>25</xdr:row>
                    <xdr:rowOff>142875</xdr:rowOff>
                  </from>
                  <to>
                    <xdr:col>16</xdr:col>
                    <xdr:colOff>38100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10</xdr:col>
                    <xdr:colOff>123825</xdr:colOff>
                    <xdr:row>27</xdr:row>
                    <xdr:rowOff>142875</xdr:rowOff>
                  </from>
                  <to>
                    <xdr:col>17</xdr:col>
                    <xdr:colOff>266700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10</xdr:col>
                    <xdr:colOff>123825</xdr:colOff>
                    <xdr:row>28</xdr:row>
                    <xdr:rowOff>142875</xdr:rowOff>
                  </from>
                  <to>
                    <xdr:col>17</xdr:col>
                    <xdr:colOff>257175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10</xdr:col>
                    <xdr:colOff>123825</xdr:colOff>
                    <xdr:row>25</xdr:row>
                    <xdr:rowOff>0</xdr:rowOff>
                  </from>
                  <to>
                    <xdr:col>16</xdr:col>
                    <xdr:colOff>419100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10</xdr:col>
                    <xdr:colOff>123825</xdr:colOff>
                    <xdr:row>30</xdr:row>
                    <xdr:rowOff>142875</xdr:rowOff>
                  </from>
                  <to>
                    <xdr:col>21</xdr:col>
                    <xdr:colOff>190500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10</xdr:col>
                    <xdr:colOff>123825</xdr:colOff>
                    <xdr:row>33</xdr:row>
                    <xdr:rowOff>0</xdr:rowOff>
                  </from>
                  <to>
                    <xdr:col>17</xdr:col>
                    <xdr:colOff>152400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10</xdr:col>
                    <xdr:colOff>123825</xdr:colOff>
                    <xdr:row>33</xdr:row>
                    <xdr:rowOff>142875</xdr:rowOff>
                  </from>
                  <to>
                    <xdr:col>18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10</xdr:col>
                    <xdr:colOff>123825</xdr:colOff>
                    <xdr:row>26</xdr:row>
                    <xdr:rowOff>142875</xdr:rowOff>
                  </from>
                  <to>
                    <xdr:col>17</xdr:col>
                    <xdr:colOff>247650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10</xdr:col>
                    <xdr:colOff>123825</xdr:colOff>
                    <xdr:row>34</xdr:row>
                    <xdr:rowOff>142875</xdr:rowOff>
                  </from>
                  <to>
                    <xdr:col>18</xdr:col>
                    <xdr:colOff>400050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133350</xdr:rowOff>
                  </from>
                  <to>
                    <xdr:col>17</xdr:col>
                    <xdr:colOff>342900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10</xdr:col>
                    <xdr:colOff>123825</xdr:colOff>
                    <xdr:row>29</xdr:row>
                    <xdr:rowOff>133350</xdr:rowOff>
                  </from>
                  <to>
                    <xdr:col>17</xdr:col>
                    <xdr:colOff>47625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10</xdr:col>
                    <xdr:colOff>123825</xdr:colOff>
                    <xdr:row>31</xdr:row>
                    <xdr:rowOff>133350</xdr:rowOff>
                  </from>
                  <to>
                    <xdr:col>17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10</xdr:col>
                    <xdr:colOff>123825</xdr:colOff>
                    <xdr:row>35</xdr:row>
                    <xdr:rowOff>142875</xdr:rowOff>
                  </from>
                  <to>
                    <xdr:col>17</xdr:col>
                    <xdr:colOff>400050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CFD8-38FC-4F17-BB63-903D1EA473E6}">
  <sheetPr codeName="Feuil2">
    <tabColor theme="0" tint="-0.34998626667073579"/>
  </sheetPr>
  <dimension ref="A1:L116"/>
  <sheetViews>
    <sheetView showGridLines="0" view="pageLayout" zoomScaleNormal="100" workbookViewId="0">
      <selection activeCell="D1" sqref="D1:H1"/>
    </sheetView>
  </sheetViews>
  <sheetFormatPr defaultColWidth="11" defaultRowHeight="13.5" x14ac:dyDescent="0.25"/>
  <cols>
    <col min="1" max="1" width="10.19921875" customWidth="1"/>
    <col min="2" max="2" width="4.796875" customWidth="1"/>
    <col min="3" max="3" width="69.796875" customWidth="1"/>
    <col min="4" max="8" width="16.59765625" customWidth="1"/>
    <col min="9" max="9" width="2.796875" customWidth="1"/>
    <col min="10" max="10" width="19.3984375" customWidth="1"/>
  </cols>
  <sheetData>
    <row r="1" spans="1:10" ht="16.5" x14ac:dyDescent="0.3">
      <c r="A1" s="1" t="s">
        <v>26</v>
      </c>
      <c r="D1" s="259">
        <f>Données!D1</f>
        <v>0</v>
      </c>
      <c r="E1" s="259"/>
      <c r="F1" s="259"/>
      <c r="G1" s="259"/>
      <c r="H1" s="259"/>
    </row>
    <row r="2" spans="1:10" ht="4.5" customHeight="1" thickBot="1" x14ac:dyDescent="0.35">
      <c r="A2" s="1"/>
    </row>
    <row r="3" spans="1:10" x14ac:dyDescent="0.25">
      <c r="A3" s="37" t="s">
        <v>61</v>
      </c>
      <c r="B3" s="23"/>
      <c r="C3" s="23"/>
      <c r="D3" s="23"/>
      <c r="E3" s="23"/>
      <c r="F3" s="23"/>
      <c r="G3" s="23"/>
      <c r="H3" s="23"/>
      <c r="I3" s="23"/>
      <c r="J3" s="38"/>
    </row>
    <row r="4" spans="1:10" ht="4.5" customHeight="1" x14ac:dyDescent="0.25">
      <c r="A4" s="31"/>
      <c r="J4" s="41"/>
    </row>
    <row r="5" spans="1:10" x14ac:dyDescent="0.25">
      <c r="A5" s="144" t="s">
        <v>269</v>
      </c>
      <c r="B5" s="11" t="s">
        <v>27</v>
      </c>
      <c r="C5" s="11" t="s">
        <v>28</v>
      </c>
      <c r="D5" s="11">
        <f>Données!C3</f>
        <v>0</v>
      </c>
      <c r="E5" s="122">
        <f>Données!D3</f>
        <v>0</v>
      </c>
      <c r="F5" s="11">
        <f>Données!E3</f>
        <v>0</v>
      </c>
      <c r="G5" s="138">
        <f>Données!F3</f>
        <v>0</v>
      </c>
      <c r="H5" s="11">
        <f>Données!G3</f>
        <v>0</v>
      </c>
      <c r="I5" s="123"/>
      <c r="J5" s="25" t="str">
        <f>Données!I3</f>
        <v>Moyenne</v>
      </c>
    </row>
    <row r="6" spans="1:10" x14ac:dyDescent="0.25">
      <c r="A6" s="39">
        <v>4</v>
      </c>
      <c r="B6" s="6" t="s">
        <v>29</v>
      </c>
      <c r="C6" s="4" t="s">
        <v>270</v>
      </c>
      <c r="D6" s="14">
        <f>Données!C38</f>
        <v>0</v>
      </c>
      <c r="E6" s="119">
        <f>Données!D38</f>
        <v>0</v>
      </c>
      <c r="F6" s="14">
        <f>Données!E38</f>
        <v>0</v>
      </c>
      <c r="G6" s="139">
        <f>Données!F38</f>
        <v>0</v>
      </c>
      <c r="H6" s="14">
        <f>Données!G38</f>
        <v>0</v>
      </c>
      <c r="I6" s="123"/>
      <c r="J6" s="26">
        <f>AVERAGE(D6:H6)</f>
        <v>0</v>
      </c>
    </row>
    <row r="7" spans="1:10" x14ac:dyDescent="0.25">
      <c r="A7" s="39">
        <v>3</v>
      </c>
      <c r="B7" s="6" t="s">
        <v>30</v>
      </c>
      <c r="C7" s="4" t="s">
        <v>271</v>
      </c>
      <c r="D7" s="14">
        <f>Données!C19</f>
        <v>0</v>
      </c>
      <c r="E7" s="119">
        <f>Données!D19</f>
        <v>0</v>
      </c>
      <c r="F7" s="14">
        <f>Données!E19</f>
        <v>0</v>
      </c>
      <c r="G7" s="139">
        <f>Données!F19</f>
        <v>0</v>
      </c>
      <c r="H7" s="14">
        <f>Données!G19</f>
        <v>0</v>
      </c>
      <c r="I7" s="123"/>
      <c r="J7" s="26">
        <f t="shared" ref="J7:J28" si="0">AVERAGE(D7:H7)</f>
        <v>0</v>
      </c>
    </row>
    <row r="8" spans="1:10" x14ac:dyDescent="0.25">
      <c r="A8" s="40"/>
      <c r="B8" s="22" t="s">
        <v>31</v>
      </c>
      <c r="C8" s="9" t="s">
        <v>32</v>
      </c>
      <c r="D8" s="10">
        <f>D6-D7</f>
        <v>0</v>
      </c>
      <c r="E8" s="120">
        <f>E6-E7</f>
        <v>0</v>
      </c>
      <c r="F8" s="10">
        <f>F6-F7</f>
        <v>0</v>
      </c>
      <c r="G8" s="140">
        <f>G6-G7</f>
        <v>0</v>
      </c>
      <c r="H8" s="10">
        <f>H6-H7</f>
        <v>0</v>
      </c>
      <c r="I8" s="123"/>
      <c r="J8" s="28">
        <f t="shared" si="0"/>
        <v>0</v>
      </c>
    </row>
    <row r="9" spans="1:10" x14ac:dyDescent="0.25">
      <c r="A9" s="39">
        <v>480</v>
      </c>
      <c r="B9" s="6" t="s">
        <v>30</v>
      </c>
      <c r="C9" s="4" t="s">
        <v>158</v>
      </c>
      <c r="D9" s="14">
        <f>Données!C35-Données!C36</f>
        <v>0</v>
      </c>
      <c r="E9" s="119">
        <f>Données!D35-Données!D36</f>
        <v>0</v>
      </c>
      <c r="F9" s="14">
        <f>Données!E35-Données!E36</f>
        <v>0</v>
      </c>
      <c r="G9" s="139">
        <f>Données!F35-Données!F36</f>
        <v>0</v>
      </c>
      <c r="H9" s="14">
        <f>Données!G35-Données!G36</f>
        <v>0</v>
      </c>
      <c r="I9" s="123"/>
      <c r="J9" s="26">
        <f t="shared" si="0"/>
        <v>0</v>
      </c>
    </row>
    <row r="10" spans="1:10" x14ac:dyDescent="0.25">
      <c r="A10" s="39">
        <v>490</v>
      </c>
      <c r="B10" s="6" t="s">
        <v>30</v>
      </c>
      <c r="C10" s="4" t="s">
        <v>33</v>
      </c>
      <c r="D10" s="14">
        <f>Données!C37</f>
        <v>0</v>
      </c>
      <c r="E10" s="119">
        <f>Données!D37</f>
        <v>0</v>
      </c>
      <c r="F10" s="14">
        <f>Données!E37</f>
        <v>0</v>
      </c>
      <c r="G10" s="139">
        <f>Données!F37</f>
        <v>0</v>
      </c>
      <c r="H10" s="14">
        <f>Données!G37</f>
        <v>0</v>
      </c>
      <c r="I10" s="123"/>
      <c r="J10" s="26">
        <f t="shared" si="0"/>
        <v>0</v>
      </c>
    </row>
    <row r="11" spans="1:10" x14ac:dyDescent="0.25">
      <c r="A11" s="39">
        <v>424</v>
      </c>
      <c r="B11" s="6" t="s">
        <v>30</v>
      </c>
      <c r="C11" s="4" t="s">
        <v>255</v>
      </c>
      <c r="D11" s="14">
        <f>Données!C113</f>
        <v>0</v>
      </c>
      <c r="E11" s="119">
        <f>Données!D113</f>
        <v>0</v>
      </c>
      <c r="F11" s="14">
        <f>Données!E113</f>
        <v>0</v>
      </c>
      <c r="G11" s="139">
        <f>Données!F113</f>
        <v>0</v>
      </c>
      <c r="H11" s="14">
        <f>Données!G113</f>
        <v>0</v>
      </c>
      <c r="I11" s="123"/>
      <c r="J11" s="26">
        <f t="shared" si="0"/>
        <v>0</v>
      </c>
    </row>
    <row r="12" spans="1:10" x14ac:dyDescent="0.25">
      <c r="A12" s="39">
        <v>332</v>
      </c>
      <c r="B12" s="6" t="s">
        <v>29</v>
      </c>
      <c r="C12" s="4" t="s">
        <v>34</v>
      </c>
      <c r="D12" s="14">
        <f>Données!C12</f>
        <v>0</v>
      </c>
      <c r="E12" s="119">
        <f>Données!D12</f>
        <v>0</v>
      </c>
      <c r="F12" s="14">
        <f>Données!E12</f>
        <v>0</v>
      </c>
      <c r="G12" s="139">
        <f>Données!F12</f>
        <v>0</v>
      </c>
      <c r="H12" s="14">
        <f>Données!G12</f>
        <v>0</v>
      </c>
      <c r="I12" s="123"/>
      <c r="J12" s="26">
        <f t="shared" si="0"/>
        <v>0</v>
      </c>
    </row>
    <row r="13" spans="1:10" x14ac:dyDescent="0.25">
      <c r="A13" s="39">
        <v>333</v>
      </c>
      <c r="B13" s="6" t="s">
        <v>29</v>
      </c>
      <c r="C13" s="4" t="s">
        <v>18</v>
      </c>
      <c r="D13" s="14">
        <f>Données!C13</f>
        <v>0</v>
      </c>
      <c r="E13" s="119">
        <f>Données!D13</f>
        <v>0</v>
      </c>
      <c r="F13" s="14">
        <f>Données!E13</f>
        <v>0</v>
      </c>
      <c r="G13" s="139">
        <f>Données!F13</f>
        <v>0</v>
      </c>
      <c r="H13" s="14">
        <f>Données!G13</f>
        <v>0</v>
      </c>
      <c r="I13" s="123"/>
      <c r="J13" s="26">
        <f t="shared" si="0"/>
        <v>0</v>
      </c>
    </row>
    <row r="14" spans="1:10" x14ac:dyDescent="0.25">
      <c r="A14" s="39">
        <v>380</v>
      </c>
      <c r="B14" s="6" t="s">
        <v>29</v>
      </c>
      <c r="C14" s="4" t="s">
        <v>159</v>
      </c>
      <c r="D14" s="14">
        <f>Données!C16-Données!C17</f>
        <v>0</v>
      </c>
      <c r="E14" s="119">
        <f>Données!D16-Données!D17</f>
        <v>0</v>
      </c>
      <c r="F14" s="14">
        <f>Données!E16-Données!E17</f>
        <v>0</v>
      </c>
      <c r="G14" s="139">
        <f>Données!F16-Données!F17</f>
        <v>0</v>
      </c>
      <c r="H14" s="14">
        <f>Données!G16-Données!G17</f>
        <v>0</v>
      </c>
      <c r="I14" s="123"/>
      <c r="J14" s="26">
        <f t="shared" si="0"/>
        <v>0</v>
      </c>
    </row>
    <row r="15" spans="1:10" x14ac:dyDescent="0.25">
      <c r="A15" s="39">
        <v>390</v>
      </c>
      <c r="B15" s="6" t="s">
        <v>29</v>
      </c>
      <c r="C15" s="4" t="s">
        <v>35</v>
      </c>
      <c r="D15" s="14">
        <f>Données!C18</f>
        <v>0</v>
      </c>
      <c r="E15" s="119">
        <f>Données!D18</f>
        <v>0</v>
      </c>
      <c r="F15" s="14">
        <f>Données!E18</f>
        <v>0</v>
      </c>
      <c r="G15" s="139">
        <f>Données!F18</f>
        <v>0</v>
      </c>
      <c r="H15" s="14">
        <f>Données!G18</f>
        <v>0</v>
      </c>
      <c r="I15" s="123"/>
      <c r="J15" s="26">
        <f t="shared" si="0"/>
        <v>0</v>
      </c>
    </row>
    <row r="16" spans="1:10" x14ac:dyDescent="0.25">
      <c r="A16" s="40"/>
      <c r="B16" s="22" t="s">
        <v>31</v>
      </c>
      <c r="C16" s="9" t="s">
        <v>151</v>
      </c>
      <c r="D16" s="10">
        <f>D8-D9-D10-D11+D12+D13+D14+D15</f>
        <v>0</v>
      </c>
      <c r="E16" s="120">
        <f>E8-E9-E10-E11+E12+E13+E14+E15</f>
        <v>0</v>
      </c>
      <c r="F16" s="10">
        <f>F8-F9-F10-F11+F12+F13+F14+F15</f>
        <v>0</v>
      </c>
      <c r="G16" s="140">
        <f>G8-G9-G10-G11+G12+G13+G14+G15</f>
        <v>0</v>
      </c>
      <c r="H16" s="10">
        <f>H8-H9-H10-H11+H12+H13+H14+H15</f>
        <v>0</v>
      </c>
      <c r="I16" s="123"/>
      <c r="J16" s="28">
        <f t="shared" si="0"/>
        <v>0</v>
      </c>
    </row>
    <row r="17" spans="1:10" x14ac:dyDescent="0.25">
      <c r="A17" s="39">
        <v>330</v>
      </c>
      <c r="B17" s="6" t="s">
        <v>29</v>
      </c>
      <c r="C17" s="4" t="s">
        <v>16</v>
      </c>
      <c r="D17" s="14">
        <f>Données!C10-Données!C109</f>
        <v>0</v>
      </c>
      <c r="E17" s="119">
        <f>Données!D10-Données!D109</f>
        <v>0</v>
      </c>
      <c r="F17" s="14">
        <f>Données!E10-Données!E109</f>
        <v>0</v>
      </c>
      <c r="G17" s="139">
        <f>Données!F10-Données!F109</f>
        <v>0</v>
      </c>
      <c r="H17" s="14">
        <f>Données!G10-Données!G109</f>
        <v>0</v>
      </c>
      <c r="I17" s="123"/>
      <c r="J17" s="26">
        <f t="shared" si="0"/>
        <v>0</v>
      </c>
    </row>
    <row r="18" spans="1:10" x14ac:dyDescent="0.25">
      <c r="A18" s="39">
        <v>331</v>
      </c>
      <c r="B18" s="6" t="s">
        <v>29</v>
      </c>
      <c r="C18" s="4" t="s">
        <v>39</v>
      </c>
      <c r="D18" s="14">
        <f>Données!C11</f>
        <v>0</v>
      </c>
      <c r="E18" s="119">
        <f>Données!D11</f>
        <v>0</v>
      </c>
      <c r="F18" s="14">
        <f>Données!E11</f>
        <v>0</v>
      </c>
      <c r="G18" s="139">
        <f>Données!F11</f>
        <v>0</v>
      </c>
      <c r="H18" s="14">
        <f>Données!G11</f>
        <v>0</v>
      </c>
      <c r="I18" s="123"/>
      <c r="J18" s="26">
        <f t="shared" si="0"/>
        <v>0</v>
      </c>
    </row>
    <row r="19" spans="1:10" x14ac:dyDescent="0.25">
      <c r="A19" s="39">
        <v>481</v>
      </c>
      <c r="B19" s="6" t="s">
        <v>30</v>
      </c>
      <c r="C19" s="4" t="s">
        <v>160</v>
      </c>
      <c r="D19" s="14">
        <f>Données!C36</f>
        <v>0</v>
      </c>
      <c r="E19" s="119">
        <f>Données!D36</f>
        <v>0</v>
      </c>
      <c r="F19" s="14">
        <f>Données!E36</f>
        <v>0</v>
      </c>
      <c r="G19" s="139">
        <f>Données!F36</f>
        <v>0</v>
      </c>
      <c r="H19" s="14">
        <f>Données!G36</f>
        <v>0</v>
      </c>
      <c r="I19" s="123"/>
      <c r="J19" s="26">
        <f t="shared" si="0"/>
        <v>0</v>
      </c>
    </row>
    <row r="20" spans="1:10" x14ac:dyDescent="0.25">
      <c r="A20" s="39">
        <v>381</v>
      </c>
      <c r="B20" s="6" t="s">
        <v>29</v>
      </c>
      <c r="C20" s="4" t="s">
        <v>161</v>
      </c>
      <c r="D20" s="14">
        <f>Données!C17</f>
        <v>0</v>
      </c>
      <c r="E20" s="119">
        <f>Données!D17</f>
        <v>0</v>
      </c>
      <c r="F20" s="14">
        <f>Données!E17</f>
        <v>0</v>
      </c>
      <c r="G20" s="139">
        <f>Données!F17</f>
        <v>0</v>
      </c>
      <c r="H20" s="14">
        <f>Données!G17</f>
        <v>0</v>
      </c>
      <c r="I20" s="123"/>
      <c r="J20" s="26">
        <f t="shared" si="0"/>
        <v>0</v>
      </c>
    </row>
    <row r="21" spans="1:10" x14ac:dyDescent="0.25">
      <c r="A21" s="40"/>
      <c r="B21" s="22" t="s">
        <v>31</v>
      </c>
      <c r="C21" s="9" t="s">
        <v>157</v>
      </c>
      <c r="D21" s="10">
        <f>D16+D17+D18-D19+D20</f>
        <v>0</v>
      </c>
      <c r="E21" s="120">
        <f>E16+E17+E18-E19+E20</f>
        <v>0</v>
      </c>
      <c r="F21" s="10">
        <f>F16+F17+F18-F19+F20</f>
        <v>0</v>
      </c>
      <c r="G21" s="140">
        <f>G16+G17+G18-G19+G20</f>
        <v>0</v>
      </c>
      <c r="H21" s="10">
        <f>H16+H17+H18-H19+H20</f>
        <v>0</v>
      </c>
      <c r="I21" s="123"/>
      <c r="J21" s="28">
        <f t="shared" si="0"/>
        <v>0</v>
      </c>
    </row>
    <row r="22" spans="1:10" x14ac:dyDescent="0.25">
      <c r="A22" s="39" t="s">
        <v>36</v>
      </c>
      <c r="B22" s="6" t="s">
        <v>29</v>
      </c>
      <c r="C22" s="4" t="s">
        <v>40</v>
      </c>
      <c r="D22" s="14">
        <f>Données!C54+Données!C55+Données!C56+Données!C57</f>
        <v>0</v>
      </c>
      <c r="E22" s="119">
        <f>Données!D54+Données!D55+Données!D56+Données!D57</f>
        <v>0</v>
      </c>
      <c r="F22" s="14">
        <f>Données!E54+Données!E55+Données!E56+Données!E57</f>
        <v>0</v>
      </c>
      <c r="G22" s="139">
        <f>Données!F54+Données!F55+Données!F56+Données!F57</f>
        <v>0</v>
      </c>
      <c r="H22" s="14">
        <f>Données!G54+Données!G55+Données!G56+Données!G57</f>
        <v>0</v>
      </c>
      <c r="I22" s="123"/>
      <c r="J22" s="26">
        <f t="shared" si="0"/>
        <v>0</v>
      </c>
    </row>
    <row r="23" spans="1:10" x14ac:dyDescent="0.25">
      <c r="A23" s="39" t="s">
        <v>37</v>
      </c>
      <c r="B23" s="6" t="s">
        <v>30</v>
      </c>
      <c r="C23" s="4" t="s">
        <v>41</v>
      </c>
      <c r="D23" s="14">
        <f>Données!C47+Données!C48+Données!C49+Données!C50</f>
        <v>0</v>
      </c>
      <c r="E23" s="119">
        <f>Données!D47+Données!D48+Données!D49+Données!D50</f>
        <v>0</v>
      </c>
      <c r="F23" s="14">
        <f>Données!E47+Données!E48+Données!E49+Données!E50</f>
        <v>0</v>
      </c>
      <c r="G23" s="139">
        <f>Données!F47+Données!F48+Données!F49+Données!F50</f>
        <v>0</v>
      </c>
      <c r="H23" s="14">
        <f>Données!G47+Données!G48+Données!G49+Données!G50</f>
        <v>0</v>
      </c>
      <c r="I23" s="123"/>
      <c r="J23" s="26">
        <f t="shared" si="0"/>
        <v>0</v>
      </c>
    </row>
    <row r="24" spans="1:10" x14ac:dyDescent="0.25">
      <c r="A24" s="40"/>
      <c r="B24" s="22" t="s">
        <v>31</v>
      </c>
      <c r="C24" s="9" t="s">
        <v>116</v>
      </c>
      <c r="D24" s="10">
        <f>D21+D22-D23</f>
        <v>0</v>
      </c>
      <c r="E24" s="120">
        <f>E21+E22-E23</f>
        <v>0</v>
      </c>
      <c r="F24" s="10">
        <f>F21+F22-F23</f>
        <v>0</v>
      </c>
      <c r="G24" s="140">
        <f>G21+G22-G23</f>
        <v>0</v>
      </c>
      <c r="H24" s="10">
        <f>H21+H22-H23</f>
        <v>0</v>
      </c>
      <c r="I24" s="123"/>
      <c r="J24" s="28">
        <f t="shared" si="0"/>
        <v>0</v>
      </c>
    </row>
    <row r="25" spans="1:10" ht="4.5" customHeight="1" x14ac:dyDescent="0.25">
      <c r="A25" s="154"/>
      <c r="B25" s="3"/>
      <c r="D25" s="2"/>
      <c r="E25" s="2"/>
      <c r="F25" s="123"/>
      <c r="G25" s="2"/>
      <c r="H25" s="14"/>
      <c r="I25" s="123"/>
      <c r="J25" s="26"/>
    </row>
    <row r="26" spans="1:10" x14ac:dyDescent="0.25">
      <c r="A26" s="40"/>
      <c r="B26" s="22" t="s">
        <v>29</v>
      </c>
      <c r="C26" s="9" t="s">
        <v>85</v>
      </c>
      <c r="D26" s="10">
        <f>D6-D9-D10-D11-D19</f>
        <v>0</v>
      </c>
      <c r="E26" s="120">
        <f>E6-E9-E10-E11-E19</f>
        <v>0</v>
      </c>
      <c r="F26" s="10">
        <f>F6-F9-F10-F11-F19</f>
        <v>0</v>
      </c>
      <c r="G26" s="140">
        <f>G6-G9-G10-G11-G19</f>
        <v>0</v>
      </c>
      <c r="H26" s="10">
        <f>H6-H9-H10-H11-H19</f>
        <v>0</v>
      </c>
      <c r="I26" s="123"/>
      <c r="J26" s="28">
        <f t="shared" si="0"/>
        <v>0</v>
      </c>
    </row>
    <row r="27" spans="1:10" x14ac:dyDescent="0.25">
      <c r="A27" s="40"/>
      <c r="B27" s="22" t="s">
        <v>30</v>
      </c>
      <c r="C27" s="9" t="s">
        <v>84</v>
      </c>
      <c r="D27" s="10">
        <f>D7-D12-D13-D14-D15-D17-D18-D20</f>
        <v>0</v>
      </c>
      <c r="E27" s="120">
        <f>E7-E12-E13-E14-E15-E17-E18-E20</f>
        <v>0</v>
      </c>
      <c r="F27" s="10">
        <f>F7-F12-F13-F14-F15-F17-F18-F20</f>
        <v>0</v>
      </c>
      <c r="G27" s="140">
        <f>G7-G12-G13-G14-G15-G17-G18-G20</f>
        <v>0</v>
      </c>
      <c r="H27" s="10">
        <f>H7-H12-H13-H14-H15-H17-H18-H20</f>
        <v>0</v>
      </c>
      <c r="I27" s="123"/>
      <c r="J27" s="28">
        <f t="shared" si="0"/>
        <v>0</v>
      </c>
    </row>
    <row r="28" spans="1:10" x14ac:dyDescent="0.25">
      <c r="A28" s="40"/>
      <c r="B28" s="22" t="s">
        <v>31</v>
      </c>
      <c r="C28" s="9" t="s">
        <v>38</v>
      </c>
      <c r="D28" s="10">
        <f>D26-D27</f>
        <v>0</v>
      </c>
      <c r="E28" s="10">
        <f>E26-E27</f>
        <v>0</v>
      </c>
      <c r="F28" s="10">
        <f>F26-F27</f>
        <v>0</v>
      </c>
      <c r="G28" s="120">
        <f>G26-G27</f>
        <v>0</v>
      </c>
      <c r="H28" s="10">
        <f>H26-H27</f>
        <v>0</v>
      </c>
      <c r="I28" s="123"/>
      <c r="J28" s="28">
        <f t="shared" si="0"/>
        <v>0</v>
      </c>
    </row>
    <row r="29" spans="1:10" ht="14.25" thickBot="1" x14ac:dyDescent="0.3">
      <c r="A29" s="143"/>
      <c r="B29" s="155"/>
      <c r="C29" s="35"/>
      <c r="D29" s="80"/>
      <c r="E29" s="80"/>
      <c r="F29" s="80"/>
      <c r="G29" s="80"/>
      <c r="H29" s="80"/>
      <c r="I29" s="35"/>
      <c r="J29" s="36"/>
    </row>
    <row r="30" spans="1:10" ht="4.3499999999999996" customHeight="1" thickBot="1" x14ac:dyDescent="0.3">
      <c r="A30" s="3"/>
      <c r="B30" s="3"/>
      <c r="D30" s="2"/>
      <c r="E30" s="2"/>
      <c r="F30" s="2"/>
      <c r="G30" s="2"/>
      <c r="H30" s="2"/>
    </row>
    <row r="31" spans="1:10" x14ac:dyDescent="0.25">
      <c r="A31" s="44" t="s">
        <v>88</v>
      </c>
      <c r="B31" s="45"/>
      <c r="C31" s="46"/>
      <c r="D31" s="47"/>
      <c r="E31" s="47"/>
      <c r="F31" s="47"/>
      <c r="G31" s="47"/>
      <c r="H31" s="47"/>
      <c r="I31" s="47"/>
      <c r="J31" s="48"/>
    </row>
    <row r="32" spans="1:10" ht="4.5" customHeight="1" x14ac:dyDescent="0.25">
      <c r="A32" s="154"/>
      <c r="B32" s="3"/>
      <c r="D32" s="2"/>
      <c r="E32" s="2"/>
      <c r="F32" s="2"/>
      <c r="G32" s="2"/>
      <c r="H32" s="2"/>
      <c r="I32" s="2"/>
      <c r="J32" s="24"/>
    </row>
    <row r="33" spans="1:12" x14ac:dyDescent="0.25">
      <c r="A33" s="151" t="s">
        <v>186</v>
      </c>
      <c r="B33" s="3"/>
      <c r="D33" s="2"/>
      <c r="E33" s="2"/>
      <c r="F33" s="2"/>
      <c r="G33" s="2"/>
      <c r="H33" s="2"/>
      <c r="I33" s="2"/>
      <c r="J33" s="24"/>
    </row>
    <row r="34" spans="1:12" x14ac:dyDescent="0.25">
      <c r="A34" s="260" t="s">
        <v>64</v>
      </c>
      <c r="B34" s="261" t="s">
        <v>137</v>
      </c>
      <c r="C34" s="5" t="s">
        <v>28</v>
      </c>
      <c r="D34" s="11">
        <f>D5</f>
        <v>0</v>
      </c>
      <c r="E34" s="11">
        <f>E5</f>
        <v>0</v>
      </c>
      <c r="F34" s="11">
        <f>F5</f>
        <v>0</v>
      </c>
      <c r="G34" s="122">
        <f>G5</f>
        <v>0</v>
      </c>
      <c r="H34" s="11">
        <f>H5</f>
        <v>0</v>
      </c>
      <c r="I34" s="123"/>
      <c r="J34" s="125" t="str">
        <f>J5</f>
        <v>Moyenne</v>
      </c>
    </row>
    <row r="35" spans="1:12" x14ac:dyDescent="0.25">
      <c r="A35" s="260"/>
      <c r="B35" s="261"/>
      <c r="C35" s="4" t="s">
        <v>100</v>
      </c>
      <c r="D35" s="14">
        <f>Données!C74</f>
        <v>0</v>
      </c>
      <c r="E35" s="14">
        <f>Données!D74</f>
        <v>0</v>
      </c>
      <c r="F35" s="14">
        <f>Données!E74</f>
        <v>0</v>
      </c>
      <c r="G35" s="119">
        <f>Données!F74</f>
        <v>0</v>
      </c>
      <c r="H35" s="14">
        <f>Données!G74</f>
        <v>0</v>
      </c>
      <c r="I35" s="123"/>
      <c r="J35" s="121">
        <f>AVERAGE(D35:H35)</f>
        <v>0</v>
      </c>
    </row>
    <row r="36" spans="1:12" x14ac:dyDescent="0.25">
      <c r="A36" s="260"/>
      <c r="B36" s="261"/>
      <c r="C36" s="4" t="s">
        <v>98</v>
      </c>
      <c r="D36" s="14">
        <f>Données!C38-Données!C27-Données!C35-Données!C37</f>
        <v>0</v>
      </c>
      <c r="E36" s="14">
        <f>Données!D38-Données!D27-Données!D35-Données!D37</f>
        <v>0</v>
      </c>
      <c r="F36" s="14">
        <f>Données!E38-Données!E27-Données!E35-Données!E37</f>
        <v>0</v>
      </c>
      <c r="G36" s="119">
        <f>Données!F38-Données!F27-Données!F35-Données!F37</f>
        <v>0</v>
      </c>
      <c r="H36" s="14">
        <f>Données!G38-Données!G27-Données!G35-Données!G37</f>
        <v>0</v>
      </c>
      <c r="I36" s="123"/>
      <c r="J36" s="121">
        <f>AVERAGE(D36:H36)</f>
        <v>0</v>
      </c>
    </row>
    <row r="37" spans="1:12" x14ac:dyDescent="0.25">
      <c r="A37" s="260"/>
      <c r="B37" s="261"/>
      <c r="C37" s="16" t="s">
        <v>65</v>
      </c>
      <c r="D37" s="17">
        <f>IF(D35&lt;=0,0,D35/D36)</f>
        <v>0</v>
      </c>
      <c r="E37" s="17">
        <f>IF(E35&lt;=0,0,E35/E36)</f>
        <v>0</v>
      </c>
      <c r="F37" s="17">
        <f>IF(F35&lt;=0,0,F35/F36)</f>
        <v>0</v>
      </c>
      <c r="G37" s="124">
        <f>IF(G35&lt;=0,0,G35/G36)</f>
        <v>0</v>
      </c>
      <c r="H37" s="17">
        <f>IF(H35&lt;=0,0,H35/H36)</f>
        <v>0</v>
      </c>
      <c r="I37" s="123"/>
      <c r="J37" s="27">
        <f>IF(J35&lt;=0,0,J35/J36)</f>
        <v>0</v>
      </c>
    </row>
    <row r="38" spans="1:12" x14ac:dyDescent="0.25">
      <c r="A38" s="154"/>
      <c r="B38" s="3"/>
      <c r="D38" s="2"/>
      <c r="E38" s="2"/>
      <c r="F38" s="2"/>
      <c r="G38" s="2"/>
      <c r="H38" s="2"/>
      <c r="J38" s="41"/>
    </row>
    <row r="39" spans="1:12" ht="24" customHeight="1" x14ac:dyDescent="0.25">
      <c r="A39" s="270" t="s">
        <v>67</v>
      </c>
      <c r="B39" s="271"/>
      <c r="C39" s="271"/>
      <c r="D39" s="271"/>
      <c r="E39" s="271"/>
      <c r="F39" s="271"/>
      <c r="G39" s="271"/>
      <c r="H39" s="271"/>
      <c r="J39" s="41"/>
    </row>
    <row r="40" spans="1:12" x14ac:dyDescent="0.25">
      <c r="A40" s="260" t="s">
        <v>68</v>
      </c>
      <c r="B40" s="261" t="s">
        <v>138</v>
      </c>
      <c r="C40" s="5" t="s">
        <v>28</v>
      </c>
      <c r="D40" s="11">
        <f t="shared" ref="D40:H41" si="1">D34</f>
        <v>0</v>
      </c>
      <c r="E40" s="11">
        <f t="shared" si="1"/>
        <v>0</v>
      </c>
      <c r="F40" s="11">
        <f t="shared" si="1"/>
        <v>0</v>
      </c>
      <c r="G40" s="11">
        <f t="shared" si="1"/>
        <v>0</v>
      </c>
      <c r="H40" s="11">
        <f t="shared" si="1"/>
        <v>0</v>
      </c>
      <c r="I40" s="123"/>
      <c r="J40" s="125" t="str">
        <f t="shared" ref="J40" si="2">J34</f>
        <v>Moyenne</v>
      </c>
    </row>
    <row r="41" spans="1:12" x14ac:dyDescent="0.25">
      <c r="A41" s="260"/>
      <c r="B41" s="261"/>
      <c r="C41" s="4" t="s">
        <v>100</v>
      </c>
      <c r="D41" s="14">
        <f t="shared" si="1"/>
        <v>0</v>
      </c>
      <c r="E41" s="14">
        <f t="shared" si="1"/>
        <v>0</v>
      </c>
      <c r="F41" s="14">
        <f t="shared" si="1"/>
        <v>0</v>
      </c>
      <c r="G41" s="14">
        <f t="shared" si="1"/>
        <v>0</v>
      </c>
      <c r="H41" s="14">
        <f t="shared" si="1"/>
        <v>0</v>
      </c>
      <c r="I41" s="123"/>
      <c r="J41" s="121">
        <f>AVERAGE(D41:H41)</f>
        <v>0</v>
      </c>
    </row>
    <row r="42" spans="1:12" x14ac:dyDescent="0.25">
      <c r="A42" s="260"/>
      <c r="B42" s="261"/>
      <c r="C42" s="4" t="s">
        <v>91</v>
      </c>
      <c r="D42" s="14">
        <f>D21</f>
        <v>0</v>
      </c>
      <c r="E42" s="14">
        <f>E21</f>
        <v>0</v>
      </c>
      <c r="F42" s="14">
        <f>F21</f>
        <v>0</v>
      </c>
      <c r="G42" s="14">
        <f>G21</f>
        <v>0</v>
      </c>
      <c r="H42" s="14">
        <f>H21</f>
        <v>0</v>
      </c>
      <c r="I42" s="123"/>
      <c r="J42" s="121">
        <f>AVERAGE(D42:H42)</f>
        <v>0</v>
      </c>
    </row>
    <row r="43" spans="1:12" x14ac:dyDescent="0.25">
      <c r="A43" s="260"/>
      <c r="B43" s="261"/>
      <c r="C43" s="16" t="s">
        <v>65</v>
      </c>
      <c r="D43" s="10">
        <f>IF(D41&lt;=0,0,IF(D42&lt;=0,"Impossible",D41/D42))</f>
        <v>0</v>
      </c>
      <c r="E43" s="10">
        <f>IF(E41&lt;=0,0,IF(E42&lt;=0,"Impossible",E41/E42))</f>
        <v>0</v>
      </c>
      <c r="F43" s="10">
        <f>IF(F41&lt;=0,0,IF(F42&lt;=0,"Impossible",F41/F42))</f>
        <v>0</v>
      </c>
      <c r="G43" s="10">
        <f>IF(G41&lt;=0,0,IF(G42&lt;=0,"Impossible",G41/G42))</f>
        <v>0</v>
      </c>
      <c r="H43" s="10">
        <f>IF(H41&lt;=0,0,IF(H42&lt;=0,"Impossible",H41/H42))</f>
        <v>0</v>
      </c>
      <c r="I43" s="123"/>
      <c r="J43" s="28">
        <f>IF(J41&lt;=0,0,IF(J42&lt;=0,"Impossible",J41/J42))</f>
        <v>0</v>
      </c>
    </row>
    <row r="44" spans="1:12" x14ac:dyDescent="0.25">
      <c r="A44" s="154"/>
      <c r="B44" s="3"/>
      <c r="D44" s="2"/>
      <c r="E44" s="2"/>
      <c r="F44" s="2"/>
      <c r="G44" s="2"/>
      <c r="H44" s="2"/>
      <c r="J44" s="41"/>
    </row>
    <row r="45" spans="1:12" x14ac:dyDescent="0.25">
      <c r="A45" s="151" t="s">
        <v>71</v>
      </c>
      <c r="B45" s="3"/>
      <c r="D45" s="2"/>
      <c r="E45" s="2"/>
      <c r="F45" s="2"/>
      <c r="G45" s="2"/>
      <c r="H45" s="2"/>
      <c r="J45" s="41"/>
    </row>
    <row r="46" spans="1:12" x14ac:dyDescent="0.25">
      <c r="A46" s="260" t="s">
        <v>73</v>
      </c>
      <c r="B46" s="261" t="s">
        <v>99</v>
      </c>
      <c r="C46" s="5" t="s">
        <v>28</v>
      </c>
      <c r="D46" s="11">
        <f>D40</f>
        <v>0</v>
      </c>
      <c r="E46" s="11">
        <f>E40</f>
        <v>0</v>
      </c>
      <c r="F46" s="11">
        <f>F40</f>
        <v>0</v>
      </c>
      <c r="G46" s="11">
        <f>G40</f>
        <v>0</v>
      </c>
      <c r="H46" s="11">
        <f>H40</f>
        <v>0</v>
      </c>
      <c r="I46" s="123"/>
      <c r="J46" s="125" t="str">
        <f t="shared" ref="J46" si="3">J40</f>
        <v>Moyenne</v>
      </c>
    </row>
    <row r="47" spans="1:12" x14ac:dyDescent="0.25">
      <c r="A47" s="260"/>
      <c r="B47" s="261"/>
      <c r="C47" s="4" t="s">
        <v>97</v>
      </c>
      <c r="D47" s="14">
        <f>Données!C7+Données!C8</f>
        <v>0</v>
      </c>
      <c r="E47" s="14">
        <f>Données!D7+Données!D8</f>
        <v>0</v>
      </c>
      <c r="F47" s="14">
        <f>Données!E7+Données!E8</f>
        <v>0</v>
      </c>
      <c r="G47" s="14">
        <f>Données!F7+Données!F8</f>
        <v>0</v>
      </c>
      <c r="H47" s="14">
        <f>Données!G7+Données!G8</f>
        <v>0</v>
      </c>
      <c r="I47" s="123"/>
      <c r="J47" s="121">
        <f>AVERAGE(D47:H47)</f>
        <v>0</v>
      </c>
    </row>
    <row r="48" spans="1:12" x14ac:dyDescent="0.25">
      <c r="A48" s="260"/>
      <c r="B48" s="261"/>
      <c r="C48" s="4" t="s">
        <v>98</v>
      </c>
      <c r="D48" s="14">
        <f>D36</f>
        <v>0</v>
      </c>
      <c r="E48" s="14">
        <f>E36</f>
        <v>0</v>
      </c>
      <c r="F48" s="14">
        <f>F36</f>
        <v>0</v>
      </c>
      <c r="G48" s="14">
        <f>G36</f>
        <v>0</v>
      </c>
      <c r="H48" s="14">
        <f>H36</f>
        <v>0</v>
      </c>
      <c r="I48" s="123"/>
      <c r="J48" s="121">
        <f t="shared" ref="J48" si="4">AVERAGE(D48:H48)</f>
        <v>0</v>
      </c>
      <c r="L48" s="114"/>
    </row>
    <row r="49" spans="1:10" x14ac:dyDescent="0.25">
      <c r="A49" s="260"/>
      <c r="B49" s="261"/>
      <c r="C49" s="16" t="s">
        <v>72</v>
      </c>
      <c r="D49" s="18">
        <f>IF(D47&lt;=0,0,D47/D48)</f>
        <v>0</v>
      </c>
      <c r="E49" s="18">
        <f>IF(E47&lt;=0,0,E47/E48)</f>
        <v>0</v>
      </c>
      <c r="F49" s="18">
        <f>IF(F47&lt;=0,0,F47/F48)</f>
        <v>0</v>
      </c>
      <c r="G49" s="18">
        <f>IF(G47&lt;=0,0,G47/G48)</f>
        <v>0</v>
      </c>
      <c r="H49" s="18">
        <f>IF(H47&lt;=0,0,H47/H48)</f>
        <v>0</v>
      </c>
      <c r="I49" s="123"/>
      <c r="J49" s="29">
        <f>IF(J47&lt;=0,0,J47/J48)</f>
        <v>0</v>
      </c>
    </row>
    <row r="50" spans="1:10" x14ac:dyDescent="0.25">
      <c r="A50" s="30"/>
      <c r="D50" s="2"/>
      <c r="E50" s="2"/>
      <c r="F50" s="2"/>
      <c r="G50" s="2"/>
      <c r="H50" s="2"/>
      <c r="J50" s="41"/>
    </row>
    <row r="51" spans="1:10" x14ac:dyDescent="0.25">
      <c r="A51" s="31" t="s">
        <v>86</v>
      </c>
      <c r="D51" s="2"/>
      <c r="E51" s="2"/>
      <c r="F51" s="2"/>
      <c r="G51" s="2"/>
      <c r="H51" s="2"/>
      <c r="J51" s="41"/>
    </row>
    <row r="52" spans="1:10" ht="15.6" customHeight="1" x14ac:dyDescent="0.25">
      <c r="A52" s="260" t="s">
        <v>74</v>
      </c>
      <c r="B52" s="261" t="s">
        <v>95</v>
      </c>
      <c r="C52" s="5" t="s">
        <v>28</v>
      </c>
      <c r="D52" s="11">
        <f>D46</f>
        <v>0</v>
      </c>
      <c r="E52" s="11">
        <f>E46</f>
        <v>0</v>
      </c>
      <c r="F52" s="11">
        <f>F46</f>
        <v>0</v>
      </c>
      <c r="G52" s="11">
        <f>G46</f>
        <v>0</v>
      </c>
      <c r="H52" s="11">
        <f>H46</f>
        <v>0</v>
      </c>
      <c r="I52" s="123"/>
      <c r="J52" s="125" t="str">
        <f t="shared" ref="J52" si="5">J46</f>
        <v>Moyenne</v>
      </c>
    </row>
    <row r="53" spans="1:10" ht="11.45" customHeight="1" x14ac:dyDescent="0.25">
      <c r="A53" s="260"/>
      <c r="B53" s="261"/>
      <c r="C53" s="4" t="s">
        <v>91</v>
      </c>
      <c r="D53" s="14">
        <f>D42</f>
        <v>0</v>
      </c>
      <c r="E53" s="14">
        <f>E42</f>
        <v>0</v>
      </c>
      <c r="F53" s="14">
        <f>F42</f>
        <v>0</v>
      </c>
      <c r="G53" s="14">
        <f>G42</f>
        <v>0</v>
      </c>
      <c r="H53" s="14">
        <f>H42</f>
        <v>0</v>
      </c>
      <c r="I53" s="123"/>
      <c r="J53" s="121">
        <f>AVERAGE(D53:H53)</f>
        <v>0</v>
      </c>
    </row>
    <row r="54" spans="1:10" ht="11.45" customHeight="1" x14ac:dyDescent="0.25">
      <c r="A54" s="260"/>
      <c r="B54" s="261"/>
      <c r="C54" s="4" t="s">
        <v>96</v>
      </c>
      <c r="D54" s="14">
        <v>30</v>
      </c>
      <c r="E54" s="14">
        <v>30</v>
      </c>
      <c r="F54" s="14">
        <v>30</v>
      </c>
      <c r="G54" s="14">
        <v>30</v>
      </c>
      <c r="H54" s="14">
        <v>30</v>
      </c>
      <c r="I54" s="123"/>
      <c r="J54" s="121">
        <f t="shared" ref="J54" si="6">AVERAGE(D54:H54)</f>
        <v>30</v>
      </c>
    </row>
    <row r="55" spans="1:10" ht="11.45" customHeight="1" x14ac:dyDescent="0.25">
      <c r="A55" s="260"/>
      <c r="B55" s="261"/>
      <c r="C55" s="16" t="s">
        <v>75</v>
      </c>
      <c r="D55" s="19">
        <f>IF(D53&lt;=0,0,D53*D54)</f>
        <v>0</v>
      </c>
      <c r="E55" s="19">
        <f>IF(E53&lt;=0,0,E53*E54)</f>
        <v>0</v>
      </c>
      <c r="F55" s="19">
        <f>IF(F53&lt;=0,0,F53*F54)</f>
        <v>0</v>
      </c>
      <c r="G55" s="19">
        <f>IF(G53&lt;=0,0,G53*G54)</f>
        <v>0</v>
      </c>
      <c r="H55" s="19">
        <f>IF(H53&lt;=0,0,H53*H54)</f>
        <v>0</v>
      </c>
      <c r="I55" s="123"/>
      <c r="J55" s="32">
        <f>IF(J53&lt;=0,0,J53*J54)</f>
        <v>0</v>
      </c>
    </row>
    <row r="56" spans="1:10" x14ac:dyDescent="0.25">
      <c r="A56" s="30"/>
      <c r="D56" s="2"/>
      <c r="E56" s="2"/>
      <c r="F56" s="2"/>
      <c r="G56" s="2"/>
      <c r="H56" s="2"/>
      <c r="J56" s="41"/>
    </row>
    <row r="57" spans="1:10" x14ac:dyDescent="0.25">
      <c r="A57" s="31" t="s">
        <v>123</v>
      </c>
      <c r="D57" s="2"/>
      <c r="E57" s="2"/>
      <c r="F57" s="2"/>
      <c r="G57" s="2"/>
      <c r="H57" s="2"/>
      <c r="J57" s="41"/>
    </row>
    <row r="58" spans="1:10" x14ac:dyDescent="0.25">
      <c r="A58" s="260" t="s">
        <v>126</v>
      </c>
      <c r="B58" s="261" t="s">
        <v>125</v>
      </c>
      <c r="C58" s="5" t="s">
        <v>28</v>
      </c>
      <c r="D58" s="11">
        <f>D52</f>
        <v>0</v>
      </c>
      <c r="E58" s="11">
        <f>E52</f>
        <v>0</v>
      </c>
      <c r="F58" s="11">
        <f>F52</f>
        <v>0</v>
      </c>
      <c r="G58" s="11">
        <f>G52</f>
        <v>0</v>
      </c>
      <c r="H58" s="11">
        <f>H52</f>
        <v>0</v>
      </c>
      <c r="I58" s="123"/>
      <c r="J58" s="125" t="str">
        <f t="shared" ref="J58" si="7">J52</f>
        <v>Moyenne</v>
      </c>
    </row>
    <row r="59" spans="1:10" x14ac:dyDescent="0.25">
      <c r="A59" s="260"/>
      <c r="B59" s="261"/>
      <c r="C59" s="4" t="s">
        <v>124</v>
      </c>
      <c r="D59" s="14">
        <f>D55</f>
        <v>0</v>
      </c>
      <c r="E59" s="14">
        <f>E55</f>
        <v>0</v>
      </c>
      <c r="F59" s="14">
        <f>F55</f>
        <v>0</v>
      </c>
      <c r="G59" s="14">
        <f>G55</f>
        <v>0</v>
      </c>
      <c r="H59" s="14">
        <f>H55</f>
        <v>0</v>
      </c>
      <c r="I59" s="123"/>
      <c r="J59" s="121">
        <f>AVERAGE(D59:H59)</f>
        <v>0</v>
      </c>
    </row>
    <row r="60" spans="1:10" x14ac:dyDescent="0.25">
      <c r="A60" s="260"/>
      <c r="B60" s="261"/>
      <c r="C60" s="4" t="s">
        <v>100</v>
      </c>
      <c r="D60" s="14">
        <f>D41</f>
        <v>0</v>
      </c>
      <c r="E60" s="14">
        <f>E41</f>
        <v>0</v>
      </c>
      <c r="F60" s="14">
        <f>F41</f>
        <v>0</v>
      </c>
      <c r="G60" s="14">
        <f>G41</f>
        <v>0</v>
      </c>
      <c r="H60" s="14">
        <f>H41</f>
        <v>0</v>
      </c>
      <c r="I60" s="123"/>
      <c r="J60" s="121">
        <f t="shared" ref="J60" si="8">AVERAGE(D60:H60)</f>
        <v>0</v>
      </c>
    </row>
    <row r="61" spans="1:10" x14ac:dyDescent="0.25">
      <c r="A61" s="260"/>
      <c r="B61" s="261"/>
      <c r="C61" s="16" t="s">
        <v>75</v>
      </c>
      <c r="D61" s="19">
        <f>D59-D60</f>
        <v>0</v>
      </c>
      <c r="E61" s="19">
        <f>E59-E60</f>
        <v>0</v>
      </c>
      <c r="F61" s="19">
        <f>F59-F60</f>
        <v>0</v>
      </c>
      <c r="G61" s="19">
        <f>G59-G60</f>
        <v>0</v>
      </c>
      <c r="H61" s="19">
        <f>H59-H60</f>
        <v>0</v>
      </c>
      <c r="I61" s="123"/>
      <c r="J61" s="32">
        <f>J59-J60</f>
        <v>0</v>
      </c>
    </row>
    <row r="62" spans="1:10" ht="4.3499999999999996" customHeight="1" x14ac:dyDescent="0.25">
      <c r="A62" s="30"/>
      <c r="D62" s="2"/>
      <c r="E62" s="2"/>
      <c r="F62" s="2"/>
      <c r="G62" s="2"/>
      <c r="H62" s="2"/>
      <c r="J62" s="41"/>
    </row>
    <row r="63" spans="1:10" ht="4.3499999999999996" customHeight="1" x14ac:dyDescent="0.25">
      <c r="A63" s="31"/>
      <c r="D63" s="2"/>
      <c r="E63" s="2"/>
      <c r="F63" s="2"/>
      <c r="G63" s="2"/>
      <c r="H63" s="2"/>
      <c r="J63" s="41"/>
    </row>
    <row r="64" spans="1:10" x14ac:dyDescent="0.25">
      <c r="A64" s="31" t="s">
        <v>127</v>
      </c>
      <c r="D64" s="2"/>
      <c r="E64" s="2"/>
      <c r="F64" s="2"/>
      <c r="G64" s="2"/>
      <c r="H64" s="2"/>
      <c r="J64" s="41"/>
    </row>
    <row r="65" spans="1:10" ht="13.5" customHeight="1" x14ac:dyDescent="0.25">
      <c r="A65" s="260" t="s">
        <v>126</v>
      </c>
      <c r="B65" s="261" t="s">
        <v>139</v>
      </c>
      <c r="C65" s="5" t="s">
        <v>28</v>
      </c>
      <c r="D65" s="11">
        <f>D58</f>
        <v>0</v>
      </c>
      <c r="E65" s="11">
        <f>E58</f>
        <v>0</v>
      </c>
      <c r="F65" s="11">
        <f>F58</f>
        <v>0</v>
      </c>
      <c r="G65" s="11">
        <f>G58</f>
        <v>0</v>
      </c>
      <c r="H65" s="11">
        <f>H58</f>
        <v>0</v>
      </c>
      <c r="I65" s="123"/>
      <c r="J65" s="125" t="str">
        <f>J58</f>
        <v>Moyenne</v>
      </c>
    </row>
    <row r="66" spans="1:10" ht="13.5" customHeight="1" x14ac:dyDescent="0.25">
      <c r="A66" s="260"/>
      <c r="B66" s="261"/>
      <c r="C66" s="4" t="s">
        <v>100</v>
      </c>
      <c r="D66" s="14">
        <f>D60</f>
        <v>0</v>
      </c>
      <c r="E66" s="14">
        <f>E60</f>
        <v>0</v>
      </c>
      <c r="F66" s="14">
        <f>F60</f>
        <v>0</v>
      </c>
      <c r="G66" s="14">
        <f>G60</f>
        <v>0</v>
      </c>
      <c r="H66" s="14">
        <f>H60</f>
        <v>0</v>
      </c>
      <c r="I66" s="123"/>
      <c r="J66" s="121">
        <f>AVERAGE(D66:H66)</f>
        <v>0</v>
      </c>
    </row>
    <row r="67" spans="1:10" x14ac:dyDescent="0.25">
      <c r="A67" s="260"/>
      <c r="B67" s="261"/>
      <c r="C67" s="4" t="s">
        <v>96</v>
      </c>
      <c r="D67" s="14">
        <v>30</v>
      </c>
      <c r="E67" s="14">
        <v>30</v>
      </c>
      <c r="F67" s="14">
        <v>30</v>
      </c>
      <c r="G67" s="14">
        <v>30</v>
      </c>
      <c r="H67" s="14">
        <v>30</v>
      </c>
      <c r="I67" s="123"/>
      <c r="J67" s="121">
        <f t="shared" ref="J67" si="9">AVERAGE(D67:H67)</f>
        <v>30</v>
      </c>
    </row>
    <row r="68" spans="1:10" x14ac:dyDescent="0.25">
      <c r="A68" s="260"/>
      <c r="B68" s="261"/>
      <c r="C68" s="16" t="s">
        <v>75</v>
      </c>
      <c r="D68" s="19">
        <f>IF(D66&lt;=0,0,D66/D67)</f>
        <v>0</v>
      </c>
      <c r="E68" s="19">
        <f>IF(E66&lt;=0,0,E66/E67)</f>
        <v>0</v>
      </c>
      <c r="F68" s="19">
        <f>IF(F66&lt;=0,0,F66/F67)</f>
        <v>0</v>
      </c>
      <c r="G68" s="19">
        <f>IF(G66&lt;=0,0,G66/G67)</f>
        <v>0</v>
      </c>
      <c r="H68" s="19">
        <f>IF(H66&lt;=0,0,H66/H67)</f>
        <v>0</v>
      </c>
      <c r="I68" s="123"/>
      <c r="J68" s="32">
        <f>IF(J66&lt;=0,0,J66/J67)</f>
        <v>0</v>
      </c>
    </row>
    <row r="69" spans="1:10" x14ac:dyDescent="0.25">
      <c r="A69" s="30"/>
      <c r="D69" s="2"/>
      <c r="E69" s="2"/>
      <c r="F69" s="2"/>
      <c r="G69" s="2"/>
      <c r="H69" s="2"/>
      <c r="J69" s="41"/>
    </row>
    <row r="70" spans="1:10" x14ac:dyDescent="0.25">
      <c r="A70" s="31" t="s">
        <v>83</v>
      </c>
      <c r="D70" s="2"/>
      <c r="E70" s="2"/>
      <c r="F70" s="2"/>
      <c r="G70" s="2"/>
      <c r="H70" s="2"/>
      <c r="J70" s="41"/>
    </row>
    <row r="71" spans="1:10" x14ac:dyDescent="0.25">
      <c r="A71" s="260" t="s">
        <v>30</v>
      </c>
      <c r="B71" s="261" t="s">
        <v>185</v>
      </c>
      <c r="C71" s="5" t="s">
        <v>28</v>
      </c>
      <c r="D71" s="11">
        <f>D52</f>
        <v>0</v>
      </c>
      <c r="E71" s="11">
        <f>E52</f>
        <v>0</v>
      </c>
      <c r="F71" s="11">
        <f>F52</f>
        <v>0</v>
      </c>
      <c r="G71" s="11">
        <f>G52</f>
        <v>0</v>
      </c>
      <c r="H71" s="11">
        <f>H52</f>
        <v>0</v>
      </c>
      <c r="I71" s="123"/>
      <c r="J71" s="125" t="str">
        <f>J52</f>
        <v>Moyenne</v>
      </c>
    </row>
    <row r="72" spans="1:10" x14ac:dyDescent="0.25">
      <c r="A72" s="260"/>
      <c r="B72" s="261"/>
      <c r="C72" s="113" t="s">
        <v>94</v>
      </c>
      <c r="D72" s="14">
        <f>Données!C10+Données!C11-Données!C109</f>
        <v>0</v>
      </c>
      <c r="E72" s="14">
        <f>Données!D10+Données!D11-Données!D109</f>
        <v>0</v>
      </c>
      <c r="F72" s="14">
        <f>Données!E10+Données!E11-Données!E109</f>
        <v>0</v>
      </c>
      <c r="G72" s="14">
        <f>Données!F10+Données!F11-Données!F109</f>
        <v>0</v>
      </c>
      <c r="H72" s="14">
        <f>Données!G10+Données!G11-Données!G109</f>
        <v>0</v>
      </c>
      <c r="I72" s="123"/>
      <c r="J72" s="121">
        <f>AVERAGE(D72:H72)</f>
        <v>0</v>
      </c>
    </row>
    <row r="73" spans="1:10" x14ac:dyDescent="0.25">
      <c r="A73" s="260"/>
      <c r="B73" s="261"/>
      <c r="C73" s="4" t="s">
        <v>93</v>
      </c>
      <c r="D73" s="14">
        <f>Données!C92</f>
        <v>0</v>
      </c>
      <c r="E73" s="14">
        <f>Données!D92</f>
        <v>0</v>
      </c>
      <c r="F73" s="14">
        <f>Données!E92</f>
        <v>0</v>
      </c>
      <c r="G73" s="14">
        <f>Données!F92</f>
        <v>0</v>
      </c>
      <c r="H73" s="14">
        <f>Données!G92</f>
        <v>0</v>
      </c>
      <c r="I73" s="123"/>
      <c r="J73" s="121">
        <f t="shared" ref="J73" si="10">AVERAGE(D73:H73)</f>
        <v>0</v>
      </c>
    </row>
    <row r="74" spans="1:10" x14ac:dyDescent="0.25">
      <c r="A74" s="260"/>
      <c r="B74" s="261"/>
      <c r="C74" s="16" t="s">
        <v>113</v>
      </c>
      <c r="D74" s="20" t="str">
        <f>IF((D73/30)&gt;D72,"Insuffisant","OK")</f>
        <v>OK</v>
      </c>
      <c r="E74" s="20" t="str">
        <f>IF((E73/30)&gt;E72,"Insuffisant","OK")</f>
        <v>OK</v>
      </c>
      <c r="F74" s="20" t="str">
        <f>IF((F73/30)&gt;F72,"Insuffisant","OK")</f>
        <v>OK</v>
      </c>
      <c r="G74" s="20" t="str">
        <f>IF((G73/30)&gt;G72,"Insuffisant","OK")</f>
        <v>OK</v>
      </c>
      <c r="H74" s="20" t="str">
        <f>IF((H73/30)&gt;H72,"Insuffisant","OK")</f>
        <v>OK</v>
      </c>
      <c r="I74" s="123"/>
      <c r="J74" s="33" t="str">
        <f>IF((J73/30)&gt;J72,"Insuffisant","OK")</f>
        <v>OK</v>
      </c>
    </row>
    <row r="75" spans="1:10" ht="14.25" thickBot="1" x14ac:dyDescent="0.3">
      <c r="A75" s="34"/>
      <c r="B75" s="35"/>
      <c r="C75" s="35"/>
      <c r="D75" s="35"/>
      <c r="E75" s="35"/>
      <c r="F75" s="35"/>
      <c r="G75" s="35"/>
      <c r="H75" s="35"/>
      <c r="I75" s="35"/>
      <c r="J75" s="36"/>
    </row>
    <row r="76" spans="1:10" ht="14.1" customHeight="1" thickBot="1" x14ac:dyDescent="0.3"/>
    <row r="77" spans="1:10" x14ac:dyDescent="0.25">
      <c r="A77" s="49" t="s">
        <v>114</v>
      </c>
      <c r="B77" s="46"/>
      <c r="C77" s="46"/>
      <c r="D77" s="46"/>
      <c r="E77" s="46"/>
      <c r="F77" s="46"/>
      <c r="G77" s="46"/>
      <c r="H77" s="46"/>
      <c r="I77" s="46"/>
      <c r="J77" s="50"/>
    </row>
    <row r="78" spans="1:10" ht="4.5" customHeight="1" x14ac:dyDescent="0.25">
      <c r="A78" s="30"/>
      <c r="J78" s="41"/>
    </row>
    <row r="79" spans="1:10" x14ac:dyDescent="0.25">
      <c r="A79" s="31" t="s">
        <v>87</v>
      </c>
      <c r="C79" s="42"/>
      <c r="J79" s="41"/>
    </row>
    <row r="80" spans="1:10" x14ac:dyDescent="0.25">
      <c r="A80" s="260" t="s">
        <v>148</v>
      </c>
      <c r="B80" s="261" t="s">
        <v>141</v>
      </c>
      <c r="C80" s="5" t="s">
        <v>28</v>
      </c>
      <c r="D80" s="11">
        <f>D71</f>
        <v>0</v>
      </c>
      <c r="E80" s="11">
        <f>E71</f>
        <v>0</v>
      </c>
      <c r="F80" s="11">
        <f>F71</f>
        <v>0</v>
      </c>
      <c r="G80" s="11">
        <f>G71</f>
        <v>0</v>
      </c>
      <c r="H80" s="11">
        <f>H71</f>
        <v>0</v>
      </c>
      <c r="I80" s="141"/>
      <c r="J80" s="25" t="str">
        <f t="shared" ref="J80" si="11">J71</f>
        <v>Moyenne</v>
      </c>
    </row>
    <row r="81" spans="1:10" x14ac:dyDescent="0.25">
      <c r="A81" s="260"/>
      <c r="B81" s="261"/>
      <c r="C81" s="4" t="s">
        <v>140</v>
      </c>
      <c r="D81" s="14">
        <f>Données!C85</f>
        <v>0</v>
      </c>
      <c r="E81" s="14">
        <f>Données!D85</f>
        <v>0</v>
      </c>
      <c r="F81" s="14">
        <f>Données!E85</f>
        <v>0</v>
      </c>
      <c r="G81" s="14">
        <f>Données!F85</f>
        <v>0</v>
      </c>
      <c r="H81" s="14">
        <f>Données!G85</f>
        <v>0</v>
      </c>
      <c r="I81" s="141"/>
      <c r="J81" s="26">
        <f>AVERAGE(D81:H81)</f>
        <v>0</v>
      </c>
    </row>
    <row r="82" spans="1:10" x14ac:dyDescent="0.25">
      <c r="A82" s="260"/>
      <c r="B82" s="261"/>
      <c r="C82" s="4" t="s">
        <v>142</v>
      </c>
      <c r="D82" s="14">
        <f>Données!C100</f>
        <v>0</v>
      </c>
      <c r="E82" s="14">
        <f>Données!D100</f>
        <v>0</v>
      </c>
      <c r="F82" s="14">
        <f>Données!E100</f>
        <v>0</v>
      </c>
      <c r="G82" s="14">
        <f>Données!F100</f>
        <v>0</v>
      </c>
      <c r="H82" s="14">
        <f>Données!G100</f>
        <v>0</v>
      </c>
      <c r="I82" s="141"/>
      <c r="J82" s="26">
        <f>AVERAGE(D82:H82)</f>
        <v>0</v>
      </c>
    </row>
    <row r="83" spans="1:10" x14ac:dyDescent="0.25">
      <c r="A83" s="260"/>
      <c r="B83" s="261"/>
      <c r="C83" s="16" t="s">
        <v>72</v>
      </c>
      <c r="D83" s="18">
        <f>IF(D81&lt;=0,0,D81/D82)</f>
        <v>0</v>
      </c>
      <c r="E83" s="18">
        <f>IF(E81&lt;=0,0,E81/E82)</f>
        <v>0</v>
      </c>
      <c r="F83" s="18">
        <f>IF(F81&lt;=0,0,F81/F82)</f>
        <v>0</v>
      </c>
      <c r="G83" s="18">
        <f>IF(G81&lt;=0,0,G81/G82)</f>
        <v>0</v>
      </c>
      <c r="H83" s="18">
        <f>IF(H81&lt;=0,0,H81/H82)</f>
        <v>0</v>
      </c>
      <c r="I83" s="141"/>
      <c r="J83" s="29">
        <f t="shared" ref="J83" si="12">IF(J81&lt;=0,0,J81/J82)</f>
        <v>0</v>
      </c>
    </row>
    <row r="84" spans="1:10" ht="14.25" thickBot="1" x14ac:dyDescent="0.3">
      <c r="A84" s="34"/>
      <c r="B84" s="35"/>
      <c r="C84" s="35"/>
      <c r="D84" s="35"/>
      <c r="E84" s="35"/>
      <c r="F84" s="35"/>
      <c r="G84" s="35"/>
      <c r="H84" s="35"/>
      <c r="I84" s="35"/>
      <c r="J84" s="36"/>
    </row>
    <row r="85" spans="1:10" ht="14.1" customHeight="1" thickBot="1" x14ac:dyDescent="0.3"/>
    <row r="86" spans="1:10" x14ac:dyDescent="0.25">
      <c r="A86" s="49" t="s">
        <v>43</v>
      </c>
      <c r="B86" s="46"/>
      <c r="C86" s="46"/>
      <c r="D86" s="46"/>
      <c r="E86" s="46"/>
      <c r="F86" s="46"/>
      <c r="G86" s="46"/>
      <c r="H86" s="46"/>
      <c r="I86" s="46"/>
      <c r="J86" s="50"/>
    </row>
    <row r="87" spans="1:10" ht="4.5" customHeight="1" x14ac:dyDescent="0.25">
      <c r="A87" s="30"/>
      <c r="J87" s="41"/>
    </row>
    <row r="88" spans="1:10" ht="24" customHeight="1" x14ac:dyDescent="0.25">
      <c r="A88" s="270" t="s">
        <v>89</v>
      </c>
      <c r="B88" s="271"/>
      <c r="C88" s="271"/>
      <c r="D88" s="271"/>
      <c r="E88" s="271"/>
      <c r="F88" s="271"/>
      <c r="G88" s="271"/>
      <c r="H88" s="271"/>
      <c r="J88" s="41"/>
    </row>
    <row r="89" spans="1:10" ht="13.5" customHeight="1" x14ac:dyDescent="0.25">
      <c r="A89" s="260" t="s">
        <v>338</v>
      </c>
      <c r="B89" s="261" t="s">
        <v>90</v>
      </c>
      <c r="C89" s="5" t="s">
        <v>28</v>
      </c>
      <c r="D89" s="11">
        <f>D80</f>
        <v>0</v>
      </c>
      <c r="E89" s="11">
        <f>E80</f>
        <v>0</v>
      </c>
      <c r="F89" s="11">
        <f>F80</f>
        <v>0</v>
      </c>
      <c r="G89" s="11">
        <f>G80</f>
        <v>0</v>
      </c>
      <c r="H89" s="11">
        <f>H80</f>
        <v>0</v>
      </c>
      <c r="I89" s="141"/>
      <c r="J89" s="25" t="str">
        <f t="shared" ref="J89" si="13">J80</f>
        <v>Moyenne</v>
      </c>
    </row>
    <row r="90" spans="1:10" x14ac:dyDescent="0.25">
      <c r="A90" s="260"/>
      <c r="B90" s="261"/>
      <c r="C90" s="4" t="s">
        <v>91</v>
      </c>
      <c r="D90" s="14">
        <f>D28</f>
        <v>0</v>
      </c>
      <c r="E90" s="14">
        <f>E28</f>
        <v>0</v>
      </c>
      <c r="F90" s="14">
        <f>F28</f>
        <v>0</v>
      </c>
      <c r="G90" s="14">
        <f>G28</f>
        <v>0</v>
      </c>
      <c r="H90" s="14">
        <f>H28</f>
        <v>0</v>
      </c>
      <c r="I90" s="141"/>
      <c r="J90" s="26">
        <f>AVERAGE(D90:H90)</f>
        <v>0</v>
      </c>
    </row>
    <row r="91" spans="1:10" x14ac:dyDescent="0.25">
      <c r="A91" s="260"/>
      <c r="B91" s="261"/>
      <c r="C91" s="4" t="s">
        <v>92</v>
      </c>
      <c r="D91" s="14">
        <f>D23-D22</f>
        <v>0</v>
      </c>
      <c r="E91" s="14">
        <f>E23-E22</f>
        <v>0</v>
      </c>
      <c r="F91" s="14">
        <f>F23-F22</f>
        <v>0</v>
      </c>
      <c r="G91" s="14">
        <f>G23-G22</f>
        <v>0</v>
      </c>
      <c r="H91" s="14">
        <f>H23-H22</f>
        <v>0</v>
      </c>
      <c r="I91" s="141"/>
      <c r="J91" s="26">
        <f>AVERAGE(D91:H91)</f>
        <v>0</v>
      </c>
    </row>
    <row r="92" spans="1:10" x14ac:dyDescent="0.25">
      <c r="A92" s="260"/>
      <c r="B92" s="261"/>
      <c r="C92" s="16" t="s">
        <v>298</v>
      </c>
      <c r="D92" s="18">
        <f>IF(D90&lt;=0,0,D90/D91)</f>
        <v>0</v>
      </c>
      <c r="E92" s="18">
        <f>IF(E90&lt;=0,0,E90/E91)</f>
        <v>0</v>
      </c>
      <c r="F92" s="18">
        <f>IF(F90&lt;=0,0,F90/F91)</f>
        <v>0</v>
      </c>
      <c r="G92" s="18">
        <f>IF(G90&lt;=0,0,G90/G91)</f>
        <v>0</v>
      </c>
      <c r="H92" s="18">
        <f>IF(H90&lt;=0,0,H90/H91)</f>
        <v>0</v>
      </c>
      <c r="I92" s="141"/>
      <c r="J92" s="29">
        <f t="shared" ref="J92" si="14">IF(J90&lt;=0,0,J90/J91)</f>
        <v>0</v>
      </c>
    </row>
    <row r="93" spans="1:10" x14ac:dyDescent="0.25">
      <c r="A93" s="30"/>
      <c r="J93" s="41"/>
    </row>
    <row r="94" spans="1:10" x14ac:dyDescent="0.25">
      <c r="A94" s="31" t="s">
        <v>101</v>
      </c>
      <c r="J94" s="41"/>
    </row>
    <row r="95" spans="1:10" x14ac:dyDescent="0.25">
      <c r="A95" s="260" t="s">
        <v>149</v>
      </c>
      <c r="B95" s="261" t="s">
        <v>143</v>
      </c>
      <c r="C95" s="5" t="s">
        <v>28</v>
      </c>
      <c r="D95" s="11">
        <f>D89</f>
        <v>0</v>
      </c>
      <c r="E95" s="11">
        <f>E89</f>
        <v>0</v>
      </c>
      <c r="F95" s="11">
        <f>F89</f>
        <v>0</v>
      </c>
      <c r="G95" s="11">
        <f>G89</f>
        <v>0</v>
      </c>
      <c r="H95" s="11">
        <f>H89</f>
        <v>0</v>
      </c>
      <c r="I95" s="141"/>
      <c r="J95" s="25" t="str">
        <f t="shared" ref="J95" si="15">J89</f>
        <v>Moyenne</v>
      </c>
    </row>
    <row r="96" spans="1:10" x14ac:dyDescent="0.25">
      <c r="A96" s="260"/>
      <c r="B96" s="261"/>
      <c r="C96" s="4" t="s">
        <v>91</v>
      </c>
      <c r="D96" s="14">
        <f>D28</f>
        <v>0</v>
      </c>
      <c r="E96" s="14">
        <f>E28</f>
        <v>0</v>
      </c>
      <c r="F96" s="14">
        <f>F28</f>
        <v>0</v>
      </c>
      <c r="G96" s="14">
        <f>G28</f>
        <v>0</v>
      </c>
      <c r="H96" s="14">
        <f>H28</f>
        <v>0</v>
      </c>
      <c r="I96" s="141"/>
      <c r="J96" s="26">
        <f>AVERAGE(D96:H96)</f>
        <v>0</v>
      </c>
    </row>
    <row r="97" spans="1:10" x14ac:dyDescent="0.25">
      <c r="A97" s="260"/>
      <c r="B97" s="261"/>
      <c r="C97" s="4" t="s">
        <v>98</v>
      </c>
      <c r="D97" s="14">
        <f>D26</f>
        <v>0</v>
      </c>
      <c r="E97" s="14">
        <f>E26</f>
        <v>0</v>
      </c>
      <c r="F97" s="14">
        <f>F26</f>
        <v>0</v>
      </c>
      <c r="G97" s="14">
        <f>G26</f>
        <v>0</v>
      </c>
      <c r="H97" s="14">
        <f>H26</f>
        <v>0</v>
      </c>
      <c r="I97" s="141"/>
      <c r="J97" s="26">
        <f>AVERAGE(D97:H97)</f>
        <v>0</v>
      </c>
    </row>
    <row r="98" spans="1:10" x14ac:dyDescent="0.25">
      <c r="A98" s="260"/>
      <c r="B98" s="261"/>
      <c r="C98" s="16" t="s">
        <v>72</v>
      </c>
      <c r="D98" s="18">
        <f>IF(D96&lt;=0,0,D96/D97)</f>
        <v>0</v>
      </c>
      <c r="E98" s="18">
        <f>IF(E96&lt;=0,0,E96/E97)</f>
        <v>0</v>
      </c>
      <c r="F98" s="18">
        <f>IF(F96&lt;=0,0,F96/F97)</f>
        <v>0</v>
      </c>
      <c r="G98" s="18">
        <f>IF(G96&lt;=0,0,G96/G97)</f>
        <v>0</v>
      </c>
      <c r="H98" s="18">
        <f>IF(H96&lt;=0,0,H96/H97)</f>
        <v>0</v>
      </c>
      <c r="I98" s="141"/>
      <c r="J98" s="29">
        <f t="shared" ref="J98" si="16">IF(J96&lt;=0,0,J96/J97)</f>
        <v>0</v>
      </c>
    </row>
    <row r="99" spans="1:10" ht="14.25" thickBot="1" x14ac:dyDescent="0.3">
      <c r="A99" s="34"/>
      <c r="B99" s="35"/>
      <c r="C99" s="35"/>
      <c r="D99" s="35"/>
      <c r="E99" s="35"/>
      <c r="F99" s="35"/>
      <c r="G99" s="35"/>
      <c r="H99" s="35"/>
      <c r="I99" s="35"/>
      <c r="J99" s="36"/>
    </row>
    <row r="100" spans="1:10" ht="4.3499999999999996" customHeight="1" thickBot="1" x14ac:dyDescent="0.3"/>
    <row r="101" spans="1:10" x14ac:dyDescent="0.25">
      <c r="A101" s="49" t="s">
        <v>119</v>
      </c>
      <c r="B101" s="46"/>
      <c r="C101" s="46"/>
      <c r="D101" s="46"/>
      <c r="E101" s="46"/>
      <c r="F101" s="46"/>
      <c r="G101" s="46"/>
      <c r="H101" s="46"/>
      <c r="I101" s="46"/>
      <c r="J101" s="50"/>
    </row>
    <row r="102" spans="1:10" ht="4.5" customHeight="1" x14ac:dyDescent="0.25">
      <c r="A102" s="31"/>
      <c r="J102" s="41"/>
    </row>
    <row r="103" spans="1:10" ht="24" customHeight="1" x14ac:dyDescent="0.25">
      <c r="A103" s="270" t="s">
        <v>120</v>
      </c>
      <c r="B103" s="271"/>
      <c r="C103" s="271"/>
      <c r="D103" s="271"/>
      <c r="E103" s="271"/>
      <c r="F103" s="271"/>
      <c r="G103" s="271"/>
      <c r="H103" s="271"/>
      <c r="J103" s="41"/>
    </row>
    <row r="104" spans="1:10" ht="13.15" customHeight="1" x14ac:dyDescent="0.25">
      <c r="A104" s="260" t="s">
        <v>30</v>
      </c>
      <c r="B104" s="261" t="s">
        <v>147</v>
      </c>
      <c r="C104" s="5" t="s">
        <v>28</v>
      </c>
      <c r="D104" s="11">
        <f>D95</f>
        <v>0</v>
      </c>
      <c r="E104" s="11">
        <f>E95</f>
        <v>0</v>
      </c>
      <c r="F104" s="11">
        <f>F95</f>
        <v>0</v>
      </c>
      <c r="G104" s="11">
        <f>G95</f>
        <v>0</v>
      </c>
      <c r="H104" s="11">
        <f>H95</f>
        <v>0</v>
      </c>
      <c r="I104" s="2"/>
      <c r="J104" s="25" t="str">
        <f>J95</f>
        <v>Moyenne</v>
      </c>
    </row>
    <row r="105" spans="1:10" x14ac:dyDescent="0.25">
      <c r="A105" s="260"/>
      <c r="B105" s="261"/>
      <c r="C105" s="4" t="s">
        <v>144</v>
      </c>
      <c r="D105" s="14">
        <f>IF(D107=0,0,(Données!C23+Données!C24)/D107)</f>
        <v>0</v>
      </c>
      <c r="E105" s="14">
        <f>IF(E107=0,0,(Données!D23+Données!D24)/E107)</f>
        <v>0</v>
      </c>
      <c r="F105" s="14">
        <f>IF(F107=0,0,(Données!E23+Données!E24)/F107)</f>
        <v>0</v>
      </c>
      <c r="G105" s="14">
        <f>IF(G107=0,0,(Données!F23+Données!F24)/G107)</f>
        <v>0</v>
      </c>
      <c r="H105" s="14">
        <f>IF(H107=0,0,(Données!G23+Données!G24)/H107)</f>
        <v>0</v>
      </c>
      <c r="I105" s="2"/>
      <c r="J105" s="26">
        <f>AVERAGE(D105:H105)</f>
        <v>0</v>
      </c>
    </row>
    <row r="106" spans="1:10" x14ac:dyDescent="0.25">
      <c r="A106" s="260"/>
      <c r="B106" s="261"/>
      <c r="C106" s="4" t="s">
        <v>146</v>
      </c>
      <c r="D106" s="43">
        <f>IF(D105=0,0,D16/D105)</f>
        <v>0</v>
      </c>
      <c r="E106" s="43">
        <f>IF(E105=0,0,E16/E105)</f>
        <v>0</v>
      </c>
      <c r="F106" s="43">
        <f>IF(F105=0,0,F16/F105)</f>
        <v>0</v>
      </c>
      <c r="G106" s="43">
        <f>IF(G105=0,0,G16/G105)</f>
        <v>0</v>
      </c>
      <c r="H106" s="43">
        <f>IF(H105=0,0,H16/H105)</f>
        <v>0</v>
      </c>
      <c r="I106" s="2"/>
      <c r="J106" s="156">
        <f>IF(J105=0,0,J16/J105)</f>
        <v>0</v>
      </c>
    </row>
    <row r="107" spans="1:10" x14ac:dyDescent="0.25">
      <c r="A107" s="260"/>
      <c r="B107" s="261"/>
      <c r="C107" s="4" t="s">
        <v>145</v>
      </c>
      <c r="D107" s="43">
        <f>Données!C103</f>
        <v>0</v>
      </c>
      <c r="E107" s="43">
        <f>Données!D103</f>
        <v>0</v>
      </c>
      <c r="F107" s="43">
        <f>Données!E103</f>
        <v>0</v>
      </c>
      <c r="G107" s="43">
        <f>Données!F103</f>
        <v>0</v>
      </c>
      <c r="H107" s="43">
        <f>Données!G103</f>
        <v>0</v>
      </c>
      <c r="I107" s="2"/>
      <c r="J107" s="156" t="e">
        <f>Données!I103</f>
        <v>#DIV/0!</v>
      </c>
    </row>
    <row r="108" spans="1:10" x14ac:dyDescent="0.25">
      <c r="A108" s="260"/>
      <c r="B108" s="261"/>
      <c r="C108" s="16" t="s">
        <v>122</v>
      </c>
      <c r="D108" s="142">
        <f>Données!C103-AF!D106</f>
        <v>0</v>
      </c>
      <c r="E108" s="142">
        <f>Données!D103-AF!E106</f>
        <v>0</v>
      </c>
      <c r="F108" s="142">
        <f>Données!E103-AF!F106</f>
        <v>0</v>
      </c>
      <c r="G108" s="142">
        <f>Données!F103-AF!G106</f>
        <v>0</v>
      </c>
      <c r="H108" s="142">
        <f>Données!G103-AF!H106</f>
        <v>0</v>
      </c>
      <c r="I108" s="2"/>
      <c r="J108" s="157" t="e">
        <f>Données!I103-AF!J106</f>
        <v>#DIV/0!</v>
      </c>
    </row>
    <row r="109" spans="1:10" x14ac:dyDescent="0.25">
      <c r="A109" s="30"/>
      <c r="J109" s="41"/>
    </row>
    <row r="110" spans="1:10" x14ac:dyDescent="0.25">
      <c r="A110" s="262" t="s">
        <v>275</v>
      </c>
      <c r="B110" s="263"/>
      <c r="C110" s="263"/>
      <c r="D110" s="263"/>
      <c r="E110" s="263"/>
      <c r="F110" s="263"/>
      <c r="G110" s="263"/>
      <c r="H110" s="263"/>
      <c r="J110" s="41"/>
    </row>
    <row r="111" spans="1:10" ht="16.5" customHeight="1" x14ac:dyDescent="0.25">
      <c r="A111" s="264" t="s">
        <v>276</v>
      </c>
      <c r="B111" s="267"/>
      <c r="C111" s="148" t="s">
        <v>28</v>
      </c>
      <c r="D111" s="12">
        <f>TBAF!B2</f>
        <v>0</v>
      </c>
      <c r="E111" s="12">
        <f>TBAF!C2</f>
        <v>0</v>
      </c>
      <c r="F111" s="12">
        <f>TBAF!D2</f>
        <v>0</v>
      </c>
      <c r="G111" s="12">
        <f>TBAF!E2</f>
        <v>0</v>
      </c>
      <c r="H111" s="12">
        <f>TBAF!F2</f>
        <v>0</v>
      </c>
      <c r="J111" s="137" t="str">
        <f>J104</f>
        <v>Moyenne</v>
      </c>
    </row>
    <row r="112" spans="1:10" ht="11.45" customHeight="1" x14ac:dyDescent="0.25">
      <c r="A112" s="265"/>
      <c r="B112" s="268"/>
      <c r="C112" s="173">
        <v>16</v>
      </c>
      <c r="D112" s="149" t="str">
        <f>IF(Données!C116=0,"-",(Données!C117-Données!C119)/(Données!C116-Données!C118))</f>
        <v>-</v>
      </c>
      <c r="E112" s="149" t="str">
        <f>IF(Données!D116=0,"-",(Données!D117-Données!D119)/(Données!D116-Données!D118))</f>
        <v>-</v>
      </c>
      <c r="F112" s="149" t="str">
        <f>IF(Données!E116=0,"-",(Données!E117-Données!E119)/(Données!E116-Données!E118))</f>
        <v>-</v>
      </c>
      <c r="G112" s="149" t="str">
        <f>IF(Données!F116=0,"-",(Données!F117-Données!F119)/(Données!F116-Données!F118))</f>
        <v>-</v>
      </c>
      <c r="H112" s="149" t="str">
        <f>IF(Données!G116=0,"-",(Données!G117-Données!G119)/(Données!G116-Données!G118))</f>
        <v>-</v>
      </c>
      <c r="J112" s="150" t="str">
        <f>IF(Données!I116=0,"-",(Données!I117-Données!I119)/(Données!I116-Données!I118))</f>
        <v>-</v>
      </c>
    </row>
    <row r="113" spans="1:10" x14ac:dyDescent="0.25">
      <c r="A113" s="265"/>
      <c r="B113" s="268"/>
      <c r="C113" s="173">
        <f>Données!A121</f>
        <v>45</v>
      </c>
      <c r="D113" s="149" t="str">
        <f>IF(Données!C122=0,"-",(Données!C123-Données!C125)/(Données!C122-Données!C124))</f>
        <v>-</v>
      </c>
      <c r="E113" s="149" t="str">
        <f>IF(Données!D122=0,"-",(Données!D123-Données!D125)/(Données!D122-Données!D124))</f>
        <v>-</v>
      </c>
      <c r="F113" s="149" t="str">
        <f>IF(Données!E122=0,"-",(Données!E123-Données!E125)/(Données!E122-Données!E124))</f>
        <v>-</v>
      </c>
      <c r="G113" s="149" t="str">
        <f>IF(Données!F122=0,"-",(Données!F123-Données!F125)/(Données!F122-Données!F124))</f>
        <v>-</v>
      </c>
      <c r="H113" s="149" t="str">
        <f>IF(Données!G122=0,"-",(Données!G123-Données!G125)/(Données!G122-Données!G124))</f>
        <v>-</v>
      </c>
      <c r="J113" s="150" t="str">
        <f>IF(Données!I122=0,"-",(Données!I123-Données!I125)/(Données!I122-Données!I124))</f>
        <v>-</v>
      </c>
    </row>
    <row r="114" spans="1:10" x14ac:dyDescent="0.25">
      <c r="A114" s="265"/>
      <c r="B114" s="268"/>
      <c r="C114" s="173">
        <f>Données!A127</f>
        <v>46</v>
      </c>
      <c r="D114" s="149" t="str">
        <f>IF(Données!C128=0,"-",(Données!C129-Données!C131)/(Données!C128-Données!C130))</f>
        <v>-</v>
      </c>
      <c r="E114" s="149" t="str">
        <f>IF(Données!D128=0,"-",(Données!D129-Données!D131)/(Données!D128-Données!D130))</f>
        <v>-</v>
      </c>
      <c r="F114" s="149" t="str">
        <f>IF(Données!E128=0,"-",(Données!E129-Données!E131)/(Données!E128-Données!E130))</f>
        <v>-</v>
      </c>
      <c r="G114" s="149" t="str">
        <f>IF(Données!F128=0,"-",(Données!F129-Données!F131)/(Données!F128-Données!F130))</f>
        <v>-</v>
      </c>
      <c r="H114" s="149" t="str">
        <f>IF(Données!G128=0,"-",(Données!G129-Données!G131)/(Données!G128-Données!G130))</f>
        <v>-</v>
      </c>
      <c r="J114" s="150" t="str">
        <f>IF(Données!I128=0,"-",(Données!I129-Données!I131)/(Données!I128-Données!I130))</f>
        <v>-</v>
      </c>
    </row>
    <row r="115" spans="1:10" x14ac:dyDescent="0.25">
      <c r="A115" s="266"/>
      <c r="B115" s="269"/>
      <c r="C115" s="173">
        <f>Données!A133</f>
        <v>81</v>
      </c>
      <c r="D115" s="149" t="str">
        <f>IF(Données!C134=0,"-",(Données!C135-Données!C137)/(Données!C134-Données!C136))</f>
        <v>-</v>
      </c>
      <c r="E115" s="149" t="str">
        <f>IF(Données!D134=0,"-",(Données!D135-Données!D137)/(Données!D134-Données!D136))</f>
        <v>-</v>
      </c>
      <c r="F115" s="149" t="str">
        <f>IF(Données!E134=0,"-",(Données!E135-Données!E137)/(Données!E134-Données!E136))</f>
        <v>-</v>
      </c>
      <c r="G115" s="149" t="str">
        <f>IF(Données!F134=0,"-",(Données!F135-Données!F137)/(Données!F134-Données!F136))</f>
        <v>-</v>
      </c>
      <c r="H115" s="149" t="str">
        <f>IF(Données!G134=0,"-",(Données!G135-Données!G137)/(Données!G134-Données!G136))</f>
        <v>-</v>
      </c>
      <c r="J115" s="150" t="str">
        <f>IF(Données!I134=0,"-",(Données!I135-Données!I137)/(Données!I134-Données!I136))</f>
        <v>-</v>
      </c>
    </row>
    <row r="116" spans="1:10" ht="14.25" thickBot="1" x14ac:dyDescent="0.3">
      <c r="A116" s="34"/>
      <c r="B116" s="35"/>
      <c r="C116" s="35"/>
      <c r="D116" s="35"/>
      <c r="E116" s="35"/>
      <c r="F116" s="35"/>
      <c r="G116" s="35"/>
      <c r="H116" s="35"/>
      <c r="I116" s="35"/>
      <c r="J116" s="36"/>
    </row>
  </sheetData>
  <sheetProtection algorithmName="SHA-512" hashValue="bqIuNdGwXCFcbukSzXrqk4tsuvnnhY1cEISiZZHBWG/qtwpHaw16SKfXSS89+uZIlCSyxafQum5gJnb8DqQvNA==" saltValue="KqHacDndolIdzWNDQkrKTA==" spinCount="100000" sheet="1" sort="0" autoFilter="0"/>
  <customSheetViews>
    <customSheetView guid="{8FA47B43-BA6D-4089-B9C0-4EA64D53BE1E}" scale="90" showPageBreaks="1" view="pageLayout">
      <selection activeCell="H28" sqref="H28"/>
      <rowBreaks count="1" manualBreakCount="1">
        <brk id="61" max="16383" man="1"/>
      </rowBreaks>
      <pageMargins left="0.25" right="0.25" top="0.75" bottom="0.75" header="0.3" footer="0.3"/>
      <pageSetup paperSize="9" orientation="portrait" r:id="rId1"/>
      <headerFooter>
        <oddHeader>&amp;LV1.0&amp;CAnalyse financière&amp;R&amp;D</oddHeader>
        <oddFooter>&amp;LFichier d'analyse réalisé par l'UCV
conseils@ucv.ch&amp;C&amp;G&amp;R&amp;P/&amp;N</oddFooter>
      </headerFooter>
    </customSheetView>
  </customSheetViews>
  <mergeCells count="29">
    <mergeCell ref="A110:H110"/>
    <mergeCell ref="A111:A115"/>
    <mergeCell ref="B111:B115"/>
    <mergeCell ref="A39:H39"/>
    <mergeCell ref="A88:H88"/>
    <mergeCell ref="A103:H103"/>
    <mergeCell ref="B46:B49"/>
    <mergeCell ref="B104:B108"/>
    <mergeCell ref="A104:A108"/>
    <mergeCell ref="A52:A55"/>
    <mergeCell ref="B52:B55"/>
    <mergeCell ref="A71:A74"/>
    <mergeCell ref="B71:B74"/>
    <mergeCell ref="D1:H1"/>
    <mergeCell ref="A95:A98"/>
    <mergeCell ref="B95:B98"/>
    <mergeCell ref="A58:A61"/>
    <mergeCell ref="B58:B61"/>
    <mergeCell ref="A65:A68"/>
    <mergeCell ref="B65:B68"/>
    <mergeCell ref="A80:A83"/>
    <mergeCell ref="B80:B83"/>
    <mergeCell ref="A89:A92"/>
    <mergeCell ref="B89:B92"/>
    <mergeCell ref="A34:A37"/>
    <mergeCell ref="B34:B37"/>
    <mergeCell ref="A40:A43"/>
    <mergeCell ref="B40:B43"/>
    <mergeCell ref="A46:A49"/>
  </mergeCells>
  <conditionalFormatting sqref="D37:H37 J37">
    <cfRule type="cellIs" dxfId="108" priority="80" operator="between">
      <formula>2</formula>
      <formula>2.5</formula>
    </cfRule>
    <cfRule type="cellIs" dxfId="107" priority="81" operator="lessThan">
      <formula>2</formula>
    </cfRule>
    <cfRule type="cellIs" dxfId="106" priority="82" operator="greaterThan">
      <formula>2.5</formula>
    </cfRule>
  </conditionalFormatting>
  <conditionalFormatting sqref="D43:H43">
    <cfRule type="cellIs" dxfId="105" priority="50" operator="equal">
      <formula>"Impossible"</formula>
    </cfRule>
    <cfRule type="cellIs" dxfId="104" priority="74" operator="lessThan">
      <formula>25</formula>
    </cfRule>
    <cfRule type="cellIs" dxfId="103" priority="75" operator="between">
      <formula>25</formula>
      <formula>30</formula>
    </cfRule>
    <cfRule type="cellIs" dxfId="102" priority="76" operator="greaterThan">
      <formula>30</formula>
    </cfRule>
  </conditionalFormatting>
  <conditionalFormatting sqref="D49:H49">
    <cfRule type="cellIs" dxfId="101" priority="68" operator="greaterThan">
      <formula>0.1</formula>
    </cfRule>
    <cfRule type="cellIs" dxfId="100" priority="69" operator="between">
      <formula>0.05</formula>
      <formula>0.1</formula>
    </cfRule>
    <cfRule type="cellIs" dxfId="99" priority="70" operator="lessThan">
      <formula>0.05</formula>
    </cfRule>
  </conditionalFormatting>
  <conditionalFormatting sqref="D74:H74">
    <cfRule type="cellIs" dxfId="98" priority="60" operator="equal">
      <formula>"Insuffisant"</formula>
    </cfRule>
    <cfRule type="cellIs" dxfId="97" priority="61" operator="equal">
      <formula>"OK"</formula>
    </cfRule>
  </conditionalFormatting>
  <conditionalFormatting sqref="D83:H83 J83">
    <cfRule type="cellIs" dxfId="96" priority="57" operator="lessThan">
      <formula>0.8</formula>
    </cfRule>
    <cfRule type="cellIs" dxfId="95" priority="58" operator="between">
      <formula>0.8</formula>
      <formula>1</formula>
    </cfRule>
    <cfRule type="cellIs" dxfId="94" priority="59" operator="greaterThan">
      <formula>1</formula>
    </cfRule>
  </conditionalFormatting>
  <conditionalFormatting sqref="D61:H61">
    <cfRule type="cellIs" dxfId="93" priority="55" operator="lessThan">
      <formula>0</formula>
    </cfRule>
    <cfRule type="cellIs" dxfId="92" priority="56" operator="greaterThan">
      <formula>0</formula>
    </cfRule>
  </conditionalFormatting>
  <conditionalFormatting sqref="D98:H98 J98">
    <cfRule type="cellIs" dxfId="91" priority="51" operator="lessThan">
      <formula>0.1</formula>
    </cfRule>
    <cfRule type="cellIs" dxfId="90" priority="52" operator="between">
      <formula>0.1</formula>
      <formula>0.2</formula>
    </cfRule>
    <cfRule type="cellIs" dxfId="89" priority="53" operator="greaterThan">
      <formula>0.2</formula>
    </cfRule>
  </conditionalFormatting>
  <conditionalFormatting sqref="D92:H92 J92">
    <cfRule type="cellIs" dxfId="88" priority="1" operator="greaterThan">
      <formula>0.8</formula>
    </cfRule>
    <cfRule type="cellIs" dxfId="87" priority="2" operator="between">
      <formula>0.5</formula>
      <formula>0.8</formula>
    </cfRule>
    <cfRule type="cellIs" dxfId="86" priority="3" operator="lessThan">
      <formula>0.5</formula>
    </cfRule>
    <cfRule type="cellIs" dxfId="85" priority="49" operator="equal">
      <formula>0</formula>
    </cfRule>
  </conditionalFormatting>
  <conditionalFormatting sqref="J61">
    <cfRule type="cellIs" dxfId="84" priority="31" operator="lessThan">
      <formula>0</formula>
    </cfRule>
    <cfRule type="cellIs" dxfId="83" priority="32" operator="greaterThan">
      <formula>0</formula>
    </cfRule>
  </conditionalFormatting>
  <conditionalFormatting sqref="J74">
    <cfRule type="cellIs" dxfId="82" priority="33" operator="equal">
      <formula>"Insuffisant"</formula>
    </cfRule>
    <cfRule type="cellIs" dxfId="81" priority="34" operator="equal">
      <formula>"OK"</formula>
    </cfRule>
  </conditionalFormatting>
  <conditionalFormatting sqref="J49">
    <cfRule type="cellIs" dxfId="80" priority="28" operator="greaterThan">
      <formula>0.1</formula>
    </cfRule>
    <cfRule type="cellIs" dxfId="79" priority="29" operator="between">
      <formula>0.05</formula>
      <formula>0.1</formula>
    </cfRule>
    <cfRule type="cellIs" dxfId="78" priority="30" operator="lessThan">
      <formula>0.05</formula>
    </cfRule>
  </conditionalFormatting>
  <conditionalFormatting sqref="J43">
    <cfRule type="cellIs" dxfId="77" priority="24" operator="equal">
      <formula>"Impossible"</formula>
    </cfRule>
    <cfRule type="cellIs" dxfId="76" priority="25" operator="lessThan">
      <formula>25</formula>
    </cfRule>
    <cfRule type="cellIs" dxfId="75" priority="26" operator="between">
      <formula>25</formula>
      <formula>30</formula>
    </cfRule>
    <cfRule type="cellIs" dxfId="74" priority="27" operator="greaterThan">
      <formula>30</formula>
    </cfRule>
  </conditionalFormatting>
  <conditionalFormatting sqref="J113:J115">
    <cfRule type="cellIs" dxfId="73" priority="20" stopIfTrue="1" operator="equal">
      <formula>0</formula>
    </cfRule>
    <cfRule type="cellIs" dxfId="72" priority="21" operator="between">
      <formula>0.75</formula>
      <formula>0.99</formula>
    </cfRule>
    <cfRule type="cellIs" dxfId="71" priority="22" operator="greaterThanOrEqual">
      <formula>1</formula>
    </cfRule>
    <cfRule type="cellIs" dxfId="70" priority="23" operator="lessThan">
      <formula>0.75</formula>
    </cfRule>
  </conditionalFormatting>
  <conditionalFormatting sqref="D113:H115">
    <cfRule type="cellIs" dxfId="69" priority="16" stopIfTrue="1" operator="equal">
      <formula>0</formula>
    </cfRule>
    <cfRule type="cellIs" dxfId="68" priority="17" operator="between">
      <formula>0.75</formula>
      <formula>0.99</formula>
    </cfRule>
    <cfRule type="cellIs" dxfId="67" priority="18" operator="greaterThanOrEqual">
      <formula>1</formula>
    </cfRule>
    <cfRule type="cellIs" dxfId="66" priority="19" operator="lessThan">
      <formula>0.75</formula>
    </cfRule>
  </conditionalFormatting>
  <pageMargins left="0.25" right="0.25" top="0.75" bottom="0.75" header="0.3" footer="0.3"/>
  <pageSetup paperSize="9" orientation="landscape" r:id="rId2"/>
  <headerFooter>
    <oddHeader>&amp;LV6.0&amp;CAnalyse financière&amp;R&amp;D</oddHeader>
    <oddFooter>&amp;LFichier d'analyse réalisé par l'UCV
conseils@ucv.ch&amp;C&amp;G&amp;R&amp;P/&amp;N</oddFooter>
  </headerFooter>
  <rowBreaks count="3" manualBreakCount="3">
    <brk id="29" max="9" man="1"/>
    <brk id="62" max="16383" man="1"/>
    <brk id="99" max="10" man="1"/>
  </rowBreak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B458-6561-49A3-A4C9-F729FD7157BB}">
  <sheetPr codeName="Feuil3">
    <tabColor theme="0" tint="-0.499984740745262"/>
  </sheetPr>
  <dimension ref="A1:X35"/>
  <sheetViews>
    <sheetView showGridLines="0" view="pageLayout" zoomScaleNormal="100" workbookViewId="0">
      <selection activeCell="F8" sqref="F8"/>
    </sheetView>
  </sheetViews>
  <sheetFormatPr defaultColWidth="11" defaultRowHeight="13.5" x14ac:dyDescent="0.25"/>
  <cols>
    <col min="1" max="1" width="76.3984375" customWidth="1"/>
    <col min="2" max="6" width="17.3984375" customWidth="1"/>
    <col min="7" max="7" width="2.3984375" customWidth="1"/>
    <col min="8" max="9" width="15.59765625" customWidth="1"/>
    <col min="10" max="10" width="4.3984375" customWidth="1"/>
    <col min="12" max="12" width="16.59765625" customWidth="1"/>
    <col min="18" max="18" width="12" bestFit="1" customWidth="1"/>
    <col min="22" max="22" width="27.19921875" bestFit="1" customWidth="1"/>
    <col min="24" max="24" width="14.19921875" customWidth="1"/>
  </cols>
  <sheetData>
    <row r="1" spans="1:24" ht="15.75" x14ac:dyDescent="0.25">
      <c r="A1" s="60" t="s">
        <v>76</v>
      </c>
      <c r="B1" s="279">
        <f>Données!D1</f>
        <v>0</v>
      </c>
      <c r="C1" s="279"/>
      <c r="D1" s="279"/>
      <c r="E1" s="279"/>
      <c r="F1" s="279"/>
      <c r="G1" s="60"/>
      <c r="H1" s="60"/>
      <c r="I1" s="60"/>
    </row>
    <row r="2" spans="1:24" ht="17.100000000000001" customHeight="1" x14ac:dyDescent="0.25">
      <c r="A2" s="176" t="s">
        <v>77</v>
      </c>
      <c r="B2" s="51">
        <f>AF!D5</f>
        <v>0</v>
      </c>
      <c r="C2" s="51">
        <f>AF!E5</f>
        <v>0</v>
      </c>
      <c r="D2" s="51">
        <f>AF!F5</f>
        <v>0</v>
      </c>
      <c r="E2" s="51">
        <f>AF!G5</f>
        <v>0</v>
      </c>
      <c r="F2" s="51">
        <f>AF!H5</f>
        <v>0</v>
      </c>
      <c r="G2" s="52"/>
      <c r="H2" s="51" t="s">
        <v>82</v>
      </c>
      <c r="I2" s="51" t="s">
        <v>115</v>
      </c>
      <c r="K2" s="191" t="s">
        <v>284</v>
      </c>
    </row>
    <row r="3" spans="1:24" ht="17.100000000000001" customHeight="1" x14ac:dyDescent="0.25">
      <c r="A3" s="181" t="s">
        <v>32</v>
      </c>
      <c r="B3" s="182">
        <f>AF!D8</f>
        <v>0</v>
      </c>
      <c r="C3" s="182">
        <f>AF!E8</f>
        <v>0</v>
      </c>
      <c r="D3" s="182">
        <f>AF!F8</f>
        <v>0</v>
      </c>
      <c r="E3" s="182">
        <f>AF!G8</f>
        <v>0</v>
      </c>
      <c r="F3" s="182">
        <f>AF!H8</f>
        <v>0</v>
      </c>
      <c r="G3" s="179"/>
      <c r="H3" s="182">
        <f>AVERAGE(B3:F3)</f>
        <v>0</v>
      </c>
      <c r="I3" s="183" t="str">
        <f>IF(OR(B3=0,F3=0,AND(B3&lt;0,F3&gt;0),AND(B3&gt;0,F3&lt;0)),"-",(F3/B3)^(1/4)-1)</f>
        <v>-</v>
      </c>
      <c r="K3" s="191"/>
    </row>
    <row r="4" spans="1:24" ht="16.5" x14ac:dyDescent="0.3">
      <c r="A4" s="53" t="s">
        <v>282</v>
      </c>
      <c r="B4" s="54">
        <f>AF!D27+AF!D17+AF!D18+AF!D20</f>
        <v>0</v>
      </c>
      <c r="C4" s="54">
        <f>AF!E27+AF!E17+AF!E18+AF!E20</f>
        <v>0</v>
      </c>
      <c r="D4" s="54">
        <f>AF!F27+AF!F17+AF!F18+AF!F20</f>
        <v>0</v>
      </c>
      <c r="E4" s="54">
        <f>AF!G27+AF!G17+AF!G18+AF!G20</f>
        <v>0</v>
      </c>
      <c r="F4" s="54">
        <f>AF!H27+AF!H17+AF!H18+AF!H20</f>
        <v>0</v>
      </c>
      <c r="G4" s="55"/>
      <c r="H4" s="54">
        <f t="shared" ref="H4:H9" si="0">AVERAGE(B4:F4)</f>
        <v>0</v>
      </c>
      <c r="I4" s="115" t="str">
        <f t="shared" ref="I4:I9" si="1">IF(OR(B4=0,F4=0,AND(B4&lt;0,F4&gt;0),AND(B4&gt;0,F4&lt;0)),"-",(F4/B4)^(1/4)-1)</f>
        <v>-</v>
      </c>
      <c r="K4" t="s">
        <v>280</v>
      </c>
    </row>
    <row r="5" spans="1:24" ht="16.5" x14ac:dyDescent="0.3">
      <c r="A5" s="53" t="s">
        <v>283</v>
      </c>
      <c r="B5" s="54">
        <f>AF!D26+AF!D19</f>
        <v>0</v>
      </c>
      <c r="C5" s="54">
        <f>AF!E26+AF!E19</f>
        <v>0</v>
      </c>
      <c r="D5" s="54">
        <f>AF!F26+AF!F19</f>
        <v>0</v>
      </c>
      <c r="E5" s="54">
        <f>AF!G26+AF!G19</f>
        <v>0</v>
      </c>
      <c r="F5" s="54">
        <f>AF!H26+AF!H19</f>
        <v>0</v>
      </c>
      <c r="G5" s="55"/>
      <c r="H5" s="54">
        <f t="shared" si="0"/>
        <v>0</v>
      </c>
      <c r="I5" s="115" t="str">
        <f t="shared" si="1"/>
        <v>-</v>
      </c>
      <c r="K5" t="s">
        <v>281</v>
      </c>
    </row>
    <row r="6" spans="1:24" ht="17.100000000000001" customHeight="1" x14ac:dyDescent="0.25">
      <c r="A6" s="177" t="s">
        <v>151</v>
      </c>
      <c r="B6" s="178">
        <f>B5-B4</f>
        <v>0</v>
      </c>
      <c r="C6" s="178">
        <f>C5-C4</f>
        <v>0</v>
      </c>
      <c r="D6" s="178">
        <f>D5-D4</f>
        <v>0</v>
      </c>
      <c r="E6" s="178">
        <f>E5-E4</f>
        <v>0</v>
      </c>
      <c r="F6" s="178">
        <f>F5-F4</f>
        <v>0</v>
      </c>
      <c r="G6" s="179"/>
      <c r="H6" s="178">
        <f>H5-H4</f>
        <v>0</v>
      </c>
      <c r="I6" s="180" t="str">
        <f t="shared" si="1"/>
        <v>-</v>
      </c>
    </row>
    <row r="7" spans="1:24" ht="16.5" x14ac:dyDescent="0.3">
      <c r="A7" s="53" t="s">
        <v>78</v>
      </c>
      <c r="B7" s="54">
        <f>AF!D17+AF!D18-AF!D19+AF!D20</f>
        <v>0</v>
      </c>
      <c r="C7" s="54">
        <f>AF!E17+AF!E18-AF!E19+AF!E20</f>
        <v>0</v>
      </c>
      <c r="D7" s="54">
        <f>AF!F17+AF!F18-AF!F19+AF!F20</f>
        <v>0</v>
      </c>
      <c r="E7" s="54">
        <f>AF!G17+AF!G18-AF!G19+AF!G20</f>
        <v>0</v>
      </c>
      <c r="F7" s="54">
        <f>AF!H17+AF!H18-AF!H19+AF!H20</f>
        <v>0</v>
      </c>
      <c r="G7" s="55"/>
      <c r="H7" s="54">
        <f t="shared" si="0"/>
        <v>0</v>
      </c>
      <c r="I7" s="115" t="str">
        <f t="shared" si="1"/>
        <v>-</v>
      </c>
    </row>
    <row r="8" spans="1:24" ht="17.100000000000001" customHeight="1" x14ac:dyDescent="0.25">
      <c r="A8" s="181" t="s">
        <v>157</v>
      </c>
      <c r="B8" s="182">
        <f>B6+B7</f>
        <v>0</v>
      </c>
      <c r="C8" s="182">
        <f>C6+C7</f>
        <v>0</v>
      </c>
      <c r="D8" s="182">
        <f>D6+D7</f>
        <v>0</v>
      </c>
      <c r="E8" s="182">
        <f>E6+E7</f>
        <v>0</v>
      </c>
      <c r="F8" s="182">
        <f>F6+F7</f>
        <v>0</v>
      </c>
      <c r="G8" s="179"/>
      <c r="H8" s="182">
        <f>H6+H7</f>
        <v>0</v>
      </c>
      <c r="I8" s="183" t="str">
        <f>IF(OR(B8=0,F8=0,AND(B8&lt;0,F8&gt;0),AND(B8&gt;0,F8&lt;0)),"-",(F8/B8)^(1/4)-1)</f>
        <v>-</v>
      </c>
      <c r="K8" s="294" t="s">
        <v>341</v>
      </c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</row>
    <row r="9" spans="1:24" ht="16.5" x14ac:dyDescent="0.3">
      <c r="A9" s="53" t="s">
        <v>92</v>
      </c>
      <c r="B9" s="54">
        <f>AF!D91</f>
        <v>0</v>
      </c>
      <c r="C9" s="54">
        <f>AF!E91</f>
        <v>0</v>
      </c>
      <c r="D9" s="54">
        <f>AF!F91</f>
        <v>0</v>
      </c>
      <c r="E9" s="54">
        <f>AF!G91</f>
        <v>0</v>
      </c>
      <c r="F9" s="54">
        <f>AF!H91</f>
        <v>0</v>
      </c>
      <c r="G9" s="55"/>
      <c r="H9" s="54">
        <f t="shared" si="0"/>
        <v>0</v>
      </c>
      <c r="I9" s="115" t="str">
        <f t="shared" si="1"/>
        <v>-</v>
      </c>
    </row>
    <row r="10" spans="1:24" ht="17.100000000000001" customHeight="1" x14ac:dyDescent="0.25">
      <c r="A10" s="181" t="s">
        <v>116</v>
      </c>
      <c r="B10" s="182">
        <f>AF!D24</f>
        <v>0</v>
      </c>
      <c r="C10" s="182">
        <f>AF!E24</f>
        <v>0</v>
      </c>
      <c r="D10" s="182">
        <f>AF!F24</f>
        <v>0</v>
      </c>
      <c r="E10" s="182">
        <f>AF!G24</f>
        <v>0</v>
      </c>
      <c r="F10" s="182">
        <f>AF!H24</f>
        <v>0</v>
      </c>
      <c r="G10" s="179"/>
      <c r="H10" s="182">
        <f>AF!J24</f>
        <v>0</v>
      </c>
      <c r="I10" s="183" t="str">
        <f>IF(OR(B10=0,F10=0,AND(B10&lt;0,F10&gt;0),AND(B10&gt;0,F10&lt;0)),"-",(F10/B10)^(1/4)-1)</f>
        <v>-</v>
      </c>
      <c r="K10" s="292" t="s">
        <v>28</v>
      </c>
      <c r="L10" s="293"/>
      <c r="M10" s="293"/>
      <c r="N10" s="232" t="s">
        <v>314</v>
      </c>
      <c r="O10" s="232" t="s">
        <v>320</v>
      </c>
      <c r="P10" s="233" t="s">
        <v>321</v>
      </c>
      <c r="Q10" s="234" t="s">
        <v>322</v>
      </c>
      <c r="R10" s="234" t="s">
        <v>323</v>
      </c>
      <c r="S10" s="232" t="s">
        <v>324</v>
      </c>
      <c r="T10" s="234" t="s">
        <v>325</v>
      </c>
      <c r="U10" s="232" t="s">
        <v>326</v>
      </c>
      <c r="V10" s="232" t="s">
        <v>328</v>
      </c>
      <c r="W10" s="232" t="s">
        <v>329</v>
      </c>
      <c r="X10" s="235" t="s">
        <v>327</v>
      </c>
    </row>
    <row r="11" spans="1:24" ht="8.4499999999999993" customHeight="1" x14ac:dyDescent="0.3">
      <c r="A11" s="56"/>
      <c r="B11" s="55"/>
      <c r="C11" s="55"/>
      <c r="D11" s="55"/>
      <c r="E11" s="55"/>
      <c r="F11" s="55"/>
      <c r="G11" s="55"/>
      <c r="H11" s="55"/>
      <c r="I11" s="55"/>
      <c r="K11" s="290"/>
      <c r="L11" s="291"/>
      <c r="M11" s="291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40"/>
    </row>
    <row r="12" spans="1:24" ht="17.100000000000001" customHeight="1" x14ac:dyDescent="0.25">
      <c r="A12" s="184" t="s">
        <v>150</v>
      </c>
      <c r="B12" s="51">
        <f>B2</f>
        <v>0</v>
      </c>
      <c r="C12" s="51">
        <f>C2</f>
        <v>0</v>
      </c>
      <c r="D12" s="51">
        <f>D2</f>
        <v>0</v>
      </c>
      <c r="E12" s="51">
        <f>E2</f>
        <v>0</v>
      </c>
      <c r="F12" s="51">
        <f>F2</f>
        <v>0</v>
      </c>
      <c r="G12" s="179"/>
      <c r="H12" s="51" t="s">
        <v>82</v>
      </c>
      <c r="I12" s="51" t="s">
        <v>115</v>
      </c>
      <c r="K12" s="288" t="str">
        <f>A19</f>
        <v>Poids de la dette</v>
      </c>
      <c r="L12" s="289"/>
      <c r="M12" s="289"/>
      <c r="N12" s="239" t="str">
        <f>AF!B34</f>
        <v>DN / RC</v>
      </c>
      <c r="O12" s="239">
        <f>IF((S12-U12)/T12&lt;0,0,IF((S12-U12)/T12&gt;100,100,(S12-U12)/T12))</f>
        <v>0</v>
      </c>
      <c r="P12" s="239">
        <f>100/3</f>
        <v>33.333333333333336</v>
      </c>
      <c r="Q12" s="239">
        <f>P12*2</f>
        <v>66.666666666666671</v>
      </c>
      <c r="R12" s="239">
        <v>0</v>
      </c>
      <c r="S12" s="239">
        <f>H19</f>
        <v>0</v>
      </c>
      <c r="T12" s="239">
        <f>(X12-U12)/100</f>
        <v>1.4999999999999999E-2</v>
      </c>
      <c r="U12" s="239">
        <v>1.5</v>
      </c>
      <c r="V12" s="239">
        <v>2</v>
      </c>
      <c r="W12" s="239">
        <v>2.5</v>
      </c>
      <c r="X12" s="240">
        <v>3</v>
      </c>
    </row>
    <row r="13" spans="1:24" ht="16.5" x14ac:dyDescent="0.3">
      <c r="A13" s="53" t="s">
        <v>79</v>
      </c>
      <c r="B13" s="57">
        <f>AF!D108</f>
        <v>0</v>
      </c>
      <c r="C13" s="57">
        <f>AF!E108</f>
        <v>0</v>
      </c>
      <c r="D13" s="57">
        <f>AF!F108</f>
        <v>0</v>
      </c>
      <c r="E13" s="57">
        <f>AF!G108</f>
        <v>0</v>
      </c>
      <c r="F13" s="57">
        <f>AF!H108</f>
        <v>0</v>
      </c>
      <c r="G13" s="55"/>
      <c r="H13" s="57">
        <f t="shared" ref="H13:H21" si="2">AVERAGE(B13:F13)</f>
        <v>0</v>
      </c>
      <c r="I13" s="115" t="str">
        <f t="shared" ref="I13:I18" si="3">IF(OR(B13=0,F13=0,AND(B13&lt;0,F13&gt;0),AND(B13&gt;0,F13&lt;0)),"-",(F13/B13)^(1/4)-1)</f>
        <v>-</v>
      </c>
      <c r="K13" s="288" t="str">
        <f>A20</f>
        <v>Renouvellement de la dette</v>
      </c>
      <c r="L13" s="289"/>
      <c r="M13" s="289"/>
      <c r="N13" s="239" t="str">
        <f>AF!B40</f>
        <v>DN /MA</v>
      </c>
      <c r="O13" s="239">
        <f>IF((S13-U13)/T13&lt;0,0,IF((S13-U13)/T13&gt;100,100,(S13-U13)/T13))</f>
        <v>0</v>
      </c>
      <c r="P13" s="239">
        <f t="shared" ref="P13:P16" si="4">100/3</f>
        <v>33.333333333333336</v>
      </c>
      <c r="Q13" s="239">
        <f>P13*2</f>
        <v>66.666666666666671</v>
      </c>
      <c r="R13" s="239">
        <v>0</v>
      </c>
      <c r="S13" s="239">
        <f>H20</f>
        <v>0</v>
      </c>
      <c r="T13" s="239">
        <f>(X13-U13)/100</f>
        <v>0.15</v>
      </c>
      <c r="U13" s="239">
        <v>20</v>
      </c>
      <c r="V13" s="239">
        <v>25</v>
      </c>
      <c r="W13" s="239">
        <v>30</v>
      </c>
      <c r="X13" s="240">
        <v>35</v>
      </c>
    </row>
    <row r="14" spans="1:24" ht="17.25" thickBot="1" x14ac:dyDescent="0.35">
      <c r="A14" s="162" t="s">
        <v>100</v>
      </c>
      <c r="B14" s="159">
        <f>AF!D35</f>
        <v>0</v>
      </c>
      <c r="C14" s="159">
        <f>AF!E35</f>
        <v>0</v>
      </c>
      <c r="D14" s="159">
        <f>AF!F35</f>
        <v>0</v>
      </c>
      <c r="E14" s="159">
        <f>AF!G35</f>
        <v>0</v>
      </c>
      <c r="F14" s="159">
        <f>AF!H35</f>
        <v>0</v>
      </c>
      <c r="G14" s="55"/>
      <c r="H14" s="159">
        <f t="shared" si="2"/>
        <v>0</v>
      </c>
      <c r="I14" s="161" t="str">
        <f t="shared" si="3"/>
        <v>-</v>
      </c>
      <c r="K14" s="288" t="str">
        <f>A21</f>
        <v>Poids des intérêts passifs</v>
      </c>
      <c r="L14" s="289"/>
      <c r="M14" s="289"/>
      <c r="N14" s="239" t="str">
        <f>AF!B46</f>
        <v>IP / RC</v>
      </c>
      <c r="O14" s="239">
        <f>IF((S14-U14)/T14&lt;0,0,IF((S14-U14)/T14&gt;100,100,(S14-U14)/T14))</f>
        <v>0</v>
      </c>
      <c r="P14" s="239">
        <f t="shared" si="4"/>
        <v>33.333333333333336</v>
      </c>
      <c r="Q14" s="239">
        <f>P14*2</f>
        <v>66.666666666666671</v>
      </c>
      <c r="R14" s="239">
        <v>0</v>
      </c>
      <c r="S14" s="239">
        <f>H21*100</f>
        <v>0</v>
      </c>
      <c r="T14" s="239">
        <f>(X14-U14)/100</f>
        <v>0.15</v>
      </c>
      <c r="U14" s="239">
        <v>0</v>
      </c>
      <c r="V14" s="239">
        <v>5</v>
      </c>
      <c r="W14" s="239">
        <v>10</v>
      </c>
      <c r="X14" s="240">
        <v>15</v>
      </c>
    </row>
    <row r="15" spans="1:24" ht="17.45" customHeight="1" thickBot="1" x14ac:dyDescent="0.3">
      <c r="A15" s="185" t="s">
        <v>124</v>
      </c>
      <c r="B15" s="186">
        <f>AF!D55</f>
        <v>0</v>
      </c>
      <c r="C15" s="186">
        <f>AF!E55</f>
        <v>0</v>
      </c>
      <c r="D15" s="186">
        <f>AF!F55</f>
        <v>0</v>
      </c>
      <c r="E15" s="186">
        <f>AF!G55</f>
        <v>0</v>
      </c>
      <c r="F15" s="187">
        <f>AF!H55</f>
        <v>0</v>
      </c>
      <c r="G15" s="188"/>
      <c r="H15" s="189">
        <f t="shared" si="2"/>
        <v>0</v>
      </c>
      <c r="I15" s="190" t="str">
        <f>IF(OR(B15=0,F15=0,AND(B15&lt;0,F15&gt;0),AND(B15&gt;0,F15&lt;0)),"-",(F15/B15)^(1/4)-1)</f>
        <v>-</v>
      </c>
      <c r="K15" s="288" t="s">
        <v>300</v>
      </c>
      <c r="L15" s="289"/>
      <c r="M15" s="289"/>
      <c r="N15" s="239" t="str">
        <f>AF!B89</f>
        <v>MA / DNI</v>
      </c>
      <c r="O15" s="239">
        <f>IF(100-((S15-U15)/T15)&lt;0,0,IF(100-((S15-U15)/T15)&gt;100,100,100-((S15-U15)/T15)))</f>
        <v>100</v>
      </c>
      <c r="P15" s="239">
        <f t="shared" si="4"/>
        <v>33.333333333333336</v>
      </c>
      <c r="Q15" s="239">
        <f>P15*2</f>
        <v>66.666666666666671</v>
      </c>
      <c r="R15" s="239">
        <v>0</v>
      </c>
      <c r="S15" s="239">
        <f>AF!J92*100</f>
        <v>0</v>
      </c>
      <c r="T15" s="239">
        <f>(X15-U15)/100</f>
        <v>0.9</v>
      </c>
      <c r="U15" s="239">
        <v>20</v>
      </c>
      <c r="V15" s="239">
        <v>50</v>
      </c>
      <c r="W15" s="239">
        <v>80</v>
      </c>
      <c r="X15" s="240">
        <v>110</v>
      </c>
    </row>
    <row r="16" spans="1:24" ht="16.5" x14ac:dyDescent="0.3">
      <c r="A16" s="163" t="s">
        <v>80</v>
      </c>
      <c r="B16" s="164">
        <f>AF!D61</f>
        <v>0</v>
      </c>
      <c r="C16" s="160">
        <f>AF!E61</f>
        <v>0</v>
      </c>
      <c r="D16" s="160">
        <f>AF!F61</f>
        <v>0</v>
      </c>
      <c r="E16" s="160">
        <f>AF!G61</f>
        <v>0</v>
      </c>
      <c r="F16" s="160">
        <f>AF!H61</f>
        <v>0</v>
      </c>
      <c r="G16" s="55"/>
      <c r="H16" s="160">
        <f t="shared" si="2"/>
        <v>0</v>
      </c>
      <c r="I16" s="161" t="str">
        <f t="shared" si="3"/>
        <v>-</v>
      </c>
      <c r="K16" s="286" t="s">
        <v>301</v>
      </c>
      <c r="L16" s="287"/>
      <c r="M16" s="287"/>
      <c r="N16" s="241" t="str">
        <f>AF!B95</f>
        <v>MA / RC</v>
      </c>
      <c r="O16" s="241">
        <f>IF(100-((S16-U16)/T16)&lt;0,0,IF(100-((S16-U16)/T16)&gt;100,100,100-((S16-U16)/T16)))</f>
        <v>100</v>
      </c>
      <c r="P16" s="241">
        <f t="shared" si="4"/>
        <v>33.333333333333336</v>
      </c>
      <c r="Q16" s="241">
        <f>P16*2</f>
        <v>66.666666666666671</v>
      </c>
      <c r="R16" s="241">
        <v>0</v>
      </c>
      <c r="S16" s="241">
        <f>AF!J98*100</f>
        <v>0</v>
      </c>
      <c r="T16" s="241">
        <f>(X16-U16)/100</f>
        <v>0.3</v>
      </c>
      <c r="U16" s="241">
        <v>0</v>
      </c>
      <c r="V16" s="241">
        <v>10</v>
      </c>
      <c r="W16" s="241">
        <v>20</v>
      </c>
      <c r="X16" s="242">
        <v>30</v>
      </c>
    </row>
    <row r="17" spans="1:24" ht="16.5" x14ac:dyDescent="0.3">
      <c r="A17" s="53" t="s">
        <v>81</v>
      </c>
      <c r="B17" s="54">
        <f>AF!D68</f>
        <v>0</v>
      </c>
      <c r="C17" s="54">
        <f>AF!E68</f>
        <v>0</v>
      </c>
      <c r="D17" s="54">
        <f>AF!F68</f>
        <v>0</v>
      </c>
      <c r="E17" s="54">
        <f>AF!G68</f>
        <v>0</v>
      </c>
      <c r="F17" s="54">
        <f>AF!H68</f>
        <v>0</v>
      </c>
      <c r="G17" s="55"/>
      <c r="H17" s="158">
        <f t="shared" si="2"/>
        <v>0</v>
      </c>
      <c r="I17" s="115" t="str">
        <f t="shared" ref="I17" si="5">IF(OR(B17=0,F17=0,AND(B17&lt;0,F17&gt;0),AND(B17&gt;0,F17&lt;0)),"-",(F17/B17)^(1/4)-1)</f>
        <v>-</v>
      </c>
    </row>
    <row r="18" spans="1:24" ht="16.5" x14ac:dyDescent="0.3">
      <c r="A18" s="163" t="s">
        <v>144</v>
      </c>
      <c r="B18" s="164">
        <f>AF!D105</f>
        <v>0</v>
      </c>
      <c r="C18" s="164">
        <f>AF!E105</f>
        <v>0</v>
      </c>
      <c r="D18" s="164">
        <f>AF!F105</f>
        <v>0</v>
      </c>
      <c r="E18" s="164">
        <f>AF!G105</f>
        <v>0</v>
      </c>
      <c r="F18" s="164">
        <f>AF!H105</f>
        <v>0</v>
      </c>
      <c r="G18" s="55"/>
      <c r="H18" s="160">
        <f t="shared" ref="H18" si="6">AVERAGE(B18:F18)</f>
        <v>0</v>
      </c>
      <c r="I18" s="161" t="str">
        <f t="shared" si="3"/>
        <v>-</v>
      </c>
      <c r="K18" s="276" t="s">
        <v>319</v>
      </c>
      <c r="L18" s="277"/>
      <c r="M18" s="277"/>
      <c r="N18" s="232">
        <f>AF!D$111</f>
        <v>0</v>
      </c>
      <c r="O18" s="232">
        <f>AF!E$111</f>
        <v>0</v>
      </c>
      <c r="P18" s="232">
        <f>AF!F$111</f>
        <v>0</v>
      </c>
      <c r="Q18" s="232">
        <f>AF!G$111</f>
        <v>0</v>
      </c>
      <c r="R18" s="235">
        <f>AF!H$111</f>
        <v>0</v>
      </c>
      <c r="S18" s="235" t="str">
        <f>AF!J$111</f>
        <v>Moyenne</v>
      </c>
      <c r="V18" s="256" t="s">
        <v>304</v>
      </c>
      <c r="W18" s="237"/>
      <c r="X18" s="238"/>
    </row>
    <row r="19" spans="1:24" ht="16.5" x14ac:dyDescent="0.3">
      <c r="A19" s="53" t="s">
        <v>60</v>
      </c>
      <c r="B19" s="57">
        <f>AF!D37</f>
        <v>0</v>
      </c>
      <c r="C19" s="57">
        <f>AF!E37</f>
        <v>0</v>
      </c>
      <c r="D19" s="57">
        <f>AF!F37</f>
        <v>0</v>
      </c>
      <c r="E19" s="57">
        <f>AF!G37</f>
        <v>0</v>
      </c>
      <c r="F19" s="57">
        <f>AF!H37</f>
        <v>0</v>
      </c>
      <c r="G19" s="55"/>
      <c r="H19" s="57">
        <f t="shared" si="2"/>
        <v>0</v>
      </c>
      <c r="I19" s="115" t="str">
        <f t="shared" ref="I19:I21" si="7">IF(OR(B19=0,F19=0,AND(B19&lt;0,F19&gt;0),AND(B19&gt;0,F19&lt;0)),"-",(F19/B19)^(1/4)-1)</f>
        <v>-</v>
      </c>
      <c r="K19" s="280">
        <f>AF!$C$112</f>
        <v>16</v>
      </c>
      <c r="L19" s="281"/>
      <c r="M19" s="281"/>
      <c r="N19" s="219" t="e">
        <f>IF(AF!D$112="-",#N/A,AF!D$112)</f>
        <v>#N/A</v>
      </c>
      <c r="O19" s="219" t="e">
        <f>IF(AF!E$112="-",#N/A,AF!E$112)</f>
        <v>#N/A</v>
      </c>
      <c r="P19" s="219" t="e">
        <f>IF(AF!F$112="-",#N/A,AF!F$112)</f>
        <v>#N/A</v>
      </c>
      <c r="Q19" s="219" t="e">
        <f>IF(AF!G$112="-",#N/A,AF!G$112)</f>
        <v>#N/A</v>
      </c>
      <c r="R19" s="220" t="e">
        <f>IF(AF!H$112="-",#N/A,AF!H$112)</f>
        <v>#N/A</v>
      </c>
      <c r="S19" s="220" t="e">
        <f>IF(AF!J$112="-",#N/A,AF!J$112)</f>
        <v>#N/A</v>
      </c>
      <c r="V19" s="223" t="s">
        <v>305</v>
      </c>
      <c r="W19" s="224" t="s">
        <v>306</v>
      </c>
      <c r="X19" s="251"/>
    </row>
    <row r="20" spans="1:24" ht="16.5" x14ac:dyDescent="0.3">
      <c r="A20" s="53" t="s">
        <v>66</v>
      </c>
      <c r="B20" s="54">
        <f>AF!D43</f>
        <v>0</v>
      </c>
      <c r="C20" s="54">
        <f>AF!E43</f>
        <v>0</v>
      </c>
      <c r="D20" s="54">
        <f>AF!F43</f>
        <v>0</v>
      </c>
      <c r="E20" s="54">
        <f>AF!G43</f>
        <v>0</v>
      </c>
      <c r="F20" s="54">
        <f>AF!H43</f>
        <v>0</v>
      </c>
      <c r="G20" s="55"/>
      <c r="H20" s="54">
        <f t="shared" si="2"/>
        <v>0</v>
      </c>
      <c r="I20" s="115" t="str">
        <f t="shared" si="7"/>
        <v>-</v>
      </c>
      <c r="K20" s="280">
        <f>AF!$C$113</f>
        <v>45</v>
      </c>
      <c r="L20" s="281"/>
      <c r="M20" s="281"/>
      <c r="N20" s="219" t="e">
        <f>IF(AF!D$113="-",#N/A,AF!D$113)</f>
        <v>#N/A</v>
      </c>
      <c r="O20" s="219" t="e">
        <f>IF(AF!E$113="-",#N/A,AF!E$113)</f>
        <v>#N/A</v>
      </c>
      <c r="P20" s="219" t="e">
        <f>IF(AF!F$113="-",#N/A,AF!F$113)</f>
        <v>#N/A</v>
      </c>
      <c r="Q20" s="219" t="e">
        <f>IF(AF!G$113="-",#N/A,AF!G$113)</f>
        <v>#N/A</v>
      </c>
      <c r="R20" s="220" t="e">
        <f>IF(AF!H$113="-",#N/A,AF!H$113)</f>
        <v>#N/A</v>
      </c>
      <c r="S20" s="220" t="e">
        <f>IF(AF!J$113="-",#N/A,AF!J$113)</f>
        <v>#N/A</v>
      </c>
      <c r="V20" s="225" t="e">
        <f>Données!I92/AF!J26</f>
        <v>#DIV/0!</v>
      </c>
      <c r="W20" s="226">
        <v>0.5</v>
      </c>
      <c r="X20" s="252" t="s">
        <v>307</v>
      </c>
    </row>
    <row r="21" spans="1:24" ht="16.5" x14ac:dyDescent="0.3">
      <c r="A21" s="53" t="s">
        <v>70</v>
      </c>
      <c r="B21" s="58">
        <f>AF!D49</f>
        <v>0</v>
      </c>
      <c r="C21" s="58">
        <f>AF!E49</f>
        <v>0</v>
      </c>
      <c r="D21" s="58">
        <f>AF!F49</f>
        <v>0</v>
      </c>
      <c r="E21" s="58">
        <f>AF!G49</f>
        <v>0</v>
      </c>
      <c r="F21" s="58">
        <f>AF!H49</f>
        <v>0</v>
      </c>
      <c r="G21" s="55"/>
      <c r="H21" s="58">
        <f t="shared" si="2"/>
        <v>0</v>
      </c>
      <c r="I21" s="115" t="str">
        <f t="shared" si="7"/>
        <v>-</v>
      </c>
      <c r="K21" s="280">
        <f>AF!$C$114</f>
        <v>46</v>
      </c>
      <c r="L21" s="281"/>
      <c r="M21" s="281"/>
      <c r="N21" s="219" t="e">
        <f>IF(AF!D$114="-",#N/A,AF!D$114)</f>
        <v>#N/A</v>
      </c>
      <c r="O21" s="219" t="e">
        <f>IF(AF!E$114="-",#N/A,AF!E$114)</f>
        <v>#N/A</v>
      </c>
      <c r="P21" s="219" t="e">
        <f>IF(AF!F$114="-",#N/A,AF!F$114)</f>
        <v>#N/A</v>
      </c>
      <c r="Q21" s="219" t="e">
        <f>IF(AF!G$114="-",#N/A,AF!G$114)</f>
        <v>#N/A</v>
      </c>
      <c r="R21" s="220" t="e">
        <f>IF(AF!H$114="-",#N/A,AF!H$114)</f>
        <v>#N/A</v>
      </c>
      <c r="S21" s="220" t="e">
        <f>IF(AF!J$114="-",#N/A,AF!J$114)</f>
        <v>#N/A</v>
      </c>
      <c r="V21" s="227" t="e">
        <f>V22-V20</f>
        <v>#DIV/0!</v>
      </c>
      <c r="W21" s="226">
        <v>0.5</v>
      </c>
      <c r="X21" s="252" t="s">
        <v>308</v>
      </c>
    </row>
    <row r="22" spans="1:24" ht="17.100000000000001" customHeight="1" x14ac:dyDescent="0.25">
      <c r="K22" s="282">
        <f>AF!$C$115</f>
        <v>81</v>
      </c>
      <c r="L22" s="283"/>
      <c r="M22" s="283"/>
      <c r="N22" s="221" t="e">
        <f>IF(AF!D$115="-",#N/A,AF!D$115)</f>
        <v>#N/A</v>
      </c>
      <c r="O22" s="221" t="e">
        <f>IF(AF!E$115="-",#N/A,AF!E$115)</f>
        <v>#N/A</v>
      </c>
      <c r="P22" s="221" t="e">
        <f>IF(AF!F$115="-",#N/A,AF!F$115)</f>
        <v>#N/A</v>
      </c>
      <c r="Q22" s="221" t="e">
        <f>IF(AF!G$115="-",#N/A,AF!G$115)</f>
        <v>#N/A</v>
      </c>
      <c r="R22" s="222" t="e">
        <f>IF(AF!H$115="-",#N/A,AF!H$115)</f>
        <v>#N/A</v>
      </c>
      <c r="S22" s="222" t="e">
        <f>IF(AF!J$115="-",#N/A,AF!J$115)</f>
        <v>#N/A</v>
      </c>
      <c r="V22" s="227">
        <f>W26</f>
        <v>5</v>
      </c>
      <c r="W22" s="226">
        <v>0.5</v>
      </c>
      <c r="X22" s="252" t="s">
        <v>309</v>
      </c>
    </row>
    <row r="23" spans="1:24" ht="22.7" customHeight="1" x14ac:dyDescent="0.25">
      <c r="I23" s="59"/>
      <c r="N23" s="219"/>
      <c r="O23" s="219"/>
      <c r="P23" s="219"/>
      <c r="Q23" s="219"/>
      <c r="R23" s="219"/>
      <c r="V23" s="228"/>
      <c r="W23" s="226">
        <v>0.5</v>
      </c>
      <c r="X23" s="252" t="s">
        <v>310</v>
      </c>
    </row>
    <row r="24" spans="1:24" ht="17.100000000000001" customHeight="1" x14ac:dyDescent="0.25">
      <c r="I24" s="59"/>
      <c r="K24" s="243" t="s">
        <v>318</v>
      </c>
      <c r="L24" s="232" t="s">
        <v>318</v>
      </c>
      <c r="M24" s="232" t="s">
        <v>317</v>
      </c>
      <c r="N24" s="232" t="s">
        <v>316</v>
      </c>
      <c r="O24" s="235" t="s">
        <v>315</v>
      </c>
      <c r="P24" s="109"/>
      <c r="Q24" s="276" t="s">
        <v>299</v>
      </c>
      <c r="R24" s="277"/>
      <c r="S24" s="278"/>
      <c r="V24" s="228"/>
      <c r="W24" s="226">
        <v>1</v>
      </c>
      <c r="X24" s="252" t="s">
        <v>311</v>
      </c>
    </row>
    <row r="25" spans="1:24" x14ac:dyDescent="0.25">
      <c r="I25" s="59"/>
      <c r="K25" s="244">
        <f>AF!J26*2.5</f>
        <v>0</v>
      </c>
      <c r="L25" s="245" t="s">
        <v>331</v>
      </c>
      <c r="M25" s="239" t="e">
        <f>VLOOKUP(O25,K$25:L$28,2,FALSE)</f>
        <v>#DIV/0!</v>
      </c>
      <c r="N25" s="246" t="e">
        <f>O25-O26</f>
        <v>#DIV/0!</v>
      </c>
      <c r="O25" s="247" t="e">
        <f>LARGE(K$25:K$28,1)</f>
        <v>#DIV/0!</v>
      </c>
      <c r="Q25" s="217" t="s">
        <v>332</v>
      </c>
      <c r="R25" s="281">
        <f>AF!J83</f>
        <v>0</v>
      </c>
      <c r="S25" s="284"/>
      <c r="V25" s="228"/>
      <c r="W25" s="226">
        <v>2</v>
      </c>
      <c r="X25" s="252" t="s">
        <v>312</v>
      </c>
    </row>
    <row r="26" spans="1:24" ht="17.100000000000001" customHeight="1" x14ac:dyDescent="0.25">
      <c r="I26" s="59"/>
      <c r="K26" s="244">
        <f>H15</f>
        <v>0</v>
      </c>
      <c r="L26" s="239" t="s">
        <v>302</v>
      </c>
      <c r="M26" s="239" t="e">
        <f>VLOOKUP(O26,K$25:L$28,2,FALSE)</f>
        <v>#DIV/0!</v>
      </c>
      <c r="N26" s="246" t="e">
        <f>O26-O27</f>
        <v>#DIV/0!</v>
      </c>
      <c r="O26" s="247" t="e">
        <f>LARGE(K$25:K$28,2)</f>
        <v>#DIV/0!</v>
      </c>
      <c r="Q26" s="217" t="s">
        <v>333</v>
      </c>
      <c r="R26" s="284">
        <v>0.8</v>
      </c>
      <c r="S26" s="284"/>
      <c r="V26" s="229"/>
      <c r="W26" s="230">
        <f>SUM(W20:W25)</f>
        <v>5</v>
      </c>
      <c r="X26" s="253"/>
    </row>
    <row r="27" spans="1:24" x14ac:dyDescent="0.25">
      <c r="I27" s="59"/>
      <c r="K27" s="244">
        <f>Données!J1</f>
        <v>0</v>
      </c>
      <c r="L27" s="239" t="s">
        <v>303</v>
      </c>
      <c r="M27" s="239" t="e">
        <f>VLOOKUP(O27,K$25:L$28,2,FALSE)</f>
        <v>#DIV/0!</v>
      </c>
      <c r="N27" s="246" t="e">
        <f>O27-O28</f>
        <v>#DIV/0!</v>
      </c>
      <c r="O27" s="247" t="e">
        <f>LARGE(K$25:K$28,3)</f>
        <v>#DIV/0!</v>
      </c>
      <c r="Q27" s="217" t="s">
        <v>334</v>
      </c>
      <c r="R27" s="284">
        <v>0.2</v>
      </c>
      <c r="S27" s="284"/>
      <c r="U27" s="3"/>
    </row>
    <row r="28" spans="1:24" x14ac:dyDescent="0.25">
      <c r="I28" s="59"/>
      <c r="K28" s="248" t="e">
        <f>Données!I92</f>
        <v>#DIV/0!</v>
      </c>
      <c r="L28" s="241" t="s">
        <v>313</v>
      </c>
      <c r="M28" s="241" t="e">
        <f>VLOOKUP(O28,K$25:L$28,2,FALSE)</f>
        <v>#DIV/0!</v>
      </c>
      <c r="N28" s="249" t="e">
        <f>O28</f>
        <v>#DIV/0!</v>
      </c>
      <c r="O28" s="250" t="e">
        <f>LARGE(K$25:K$28,4)</f>
        <v>#DIV/0!</v>
      </c>
      <c r="Q28" s="218" t="s">
        <v>335</v>
      </c>
      <c r="R28" s="283">
        <v>1</v>
      </c>
      <c r="S28" s="285"/>
      <c r="U28" s="3"/>
    </row>
    <row r="29" spans="1:24" x14ac:dyDescent="0.25">
      <c r="U29" s="3"/>
      <c r="V29" s="276" t="s">
        <v>83</v>
      </c>
      <c r="W29" s="277"/>
      <c r="X29" s="278"/>
    </row>
    <row r="30" spans="1:24" x14ac:dyDescent="0.25">
      <c r="U30" s="3"/>
      <c r="V30" s="254" t="s">
        <v>336</v>
      </c>
      <c r="W30" s="272">
        <f>AF!J72</f>
        <v>0</v>
      </c>
      <c r="X30" s="273"/>
    </row>
    <row r="31" spans="1:24" x14ac:dyDescent="0.25">
      <c r="O31" s="236"/>
      <c r="U31" s="3"/>
      <c r="V31" s="255" t="s">
        <v>337</v>
      </c>
      <c r="W31" s="274">
        <f>AF!J73/30</f>
        <v>0</v>
      </c>
      <c r="X31" s="275"/>
    </row>
    <row r="32" spans="1:24" x14ac:dyDescent="0.25">
      <c r="U32" s="3"/>
    </row>
    <row r="33" spans="1:21" x14ac:dyDescent="0.25">
      <c r="U33" s="3"/>
    </row>
    <row r="34" spans="1:21" ht="3.95" customHeight="1" x14ac:dyDescent="0.25">
      <c r="U34" s="3"/>
    </row>
    <row r="35" spans="1:21" ht="15.75" x14ac:dyDescent="0.25">
      <c r="A35" s="60" t="s">
        <v>330</v>
      </c>
      <c r="B35" s="279">
        <f>Données!D1</f>
        <v>0</v>
      </c>
      <c r="C35" s="279"/>
      <c r="D35" s="279"/>
      <c r="E35" s="279"/>
      <c r="F35" s="279"/>
      <c r="G35" s="60"/>
      <c r="H35" s="60"/>
      <c r="I35" s="60"/>
    </row>
  </sheetData>
  <sheetProtection algorithmName="SHA-512" hashValue="jhEv2IBzOu/2OJMqSPq2JvQxLNq18q96TJt/KBkmUXuvwWFZnZ9EtxPQY1EI35kxRJ+iW3HtjzO5SD6LS2/Jyg==" saltValue="D7p4+uByC6e9drNqK714Nw==" spinCount="100000" sheet="1" sort="0" autoFilter="0"/>
  <customSheetViews>
    <customSheetView guid="{8FA47B43-BA6D-4089-B9C0-4EA64D53BE1E}" scale="80" showPageBreaks="1" view="pageLayout">
      <selection activeCell="A9" sqref="A9"/>
      <pageMargins left="0.25" right="0.25" top="0.75" bottom="0.75" header="0.3" footer="0.3"/>
      <pageSetup paperSize="9" orientation="landscape" r:id="rId1"/>
      <headerFooter>
        <oddHeader>&amp;LV1.0&amp;CTableau de bord&amp;R&amp;D</oddHeader>
        <oddFooter>&amp;L&amp;8Fichier d'analyse réalisé par l'UCV
conseils@ucv.ch&amp;C&amp;G</oddFooter>
      </headerFooter>
    </customSheetView>
  </customSheetViews>
  <mergeCells count="23">
    <mergeCell ref="K16:M16"/>
    <mergeCell ref="K18:M18"/>
    <mergeCell ref="B1:F1"/>
    <mergeCell ref="K12:M12"/>
    <mergeCell ref="K13:M13"/>
    <mergeCell ref="K14:M14"/>
    <mergeCell ref="K15:M15"/>
    <mergeCell ref="K11:M11"/>
    <mergeCell ref="K10:M10"/>
    <mergeCell ref="K8:X8"/>
    <mergeCell ref="W30:X30"/>
    <mergeCell ref="W31:X31"/>
    <mergeCell ref="V29:X29"/>
    <mergeCell ref="B35:F35"/>
    <mergeCell ref="K19:M19"/>
    <mergeCell ref="K20:M20"/>
    <mergeCell ref="K21:M21"/>
    <mergeCell ref="K22:M22"/>
    <mergeCell ref="R25:S25"/>
    <mergeCell ref="R26:S26"/>
    <mergeCell ref="R27:S27"/>
    <mergeCell ref="R28:S28"/>
    <mergeCell ref="Q24:S24"/>
  </mergeCells>
  <conditionalFormatting sqref="B19:F19">
    <cfRule type="cellIs" dxfId="65" priority="27" operator="lessThan">
      <formula>2</formula>
    </cfRule>
    <cfRule type="cellIs" dxfId="64" priority="28" operator="between">
      <formula>2</formula>
      <formula>2.5</formula>
    </cfRule>
    <cfRule type="cellIs" dxfId="63" priority="29" operator="greaterThan">
      <formula>2.5</formula>
    </cfRule>
  </conditionalFormatting>
  <conditionalFormatting sqref="B20:F20">
    <cfRule type="cellIs" dxfId="62" priority="24" operator="lessThan">
      <formula>25</formula>
    </cfRule>
    <cfRule type="cellIs" dxfId="61" priority="25" operator="between">
      <formula>25</formula>
      <formula>30</formula>
    </cfRule>
    <cfRule type="cellIs" dxfId="60" priority="26" operator="greaterThan">
      <formula>30</formula>
    </cfRule>
  </conditionalFormatting>
  <conditionalFormatting sqref="B21:F21">
    <cfRule type="cellIs" dxfId="59" priority="21" operator="lessThan">
      <formula>0.05</formula>
    </cfRule>
    <cfRule type="cellIs" dxfId="58" priority="22" operator="between">
      <formula>0.05</formula>
      <formula>0.1</formula>
    </cfRule>
    <cfRule type="cellIs" dxfId="57" priority="23" operator="greaterThan">
      <formula>0.1</formula>
    </cfRule>
  </conditionalFormatting>
  <conditionalFormatting sqref="H21">
    <cfRule type="cellIs" dxfId="56" priority="1" operator="lessThan">
      <formula>0.05</formula>
    </cfRule>
    <cfRule type="cellIs" dxfId="55" priority="2" operator="between">
      <formula>0.05</formula>
      <formula>0.1</formula>
    </cfRule>
    <cfRule type="cellIs" dxfId="54" priority="3" operator="greaterThan">
      <formula>0.1</formula>
    </cfRule>
  </conditionalFormatting>
  <conditionalFormatting sqref="H19">
    <cfRule type="cellIs" dxfId="53" priority="7" operator="lessThan">
      <formula>2</formula>
    </cfRule>
    <cfRule type="cellIs" dxfId="52" priority="8" operator="between">
      <formula>2</formula>
      <formula>2.5</formula>
    </cfRule>
    <cfRule type="cellIs" dxfId="51" priority="9" operator="greaterThan">
      <formula>2.5</formula>
    </cfRule>
  </conditionalFormatting>
  <conditionalFormatting sqref="H20">
    <cfRule type="cellIs" dxfId="50" priority="4" operator="lessThan">
      <formula>25</formula>
    </cfRule>
    <cfRule type="cellIs" dxfId="49" priority="5" operator="between">
      <formula>25</formula>
      <formula>30</formula>
    </cfRule>
    <cfRule type="cellIs" dxfId="48" priority="6" operator="greaterThan">
      <formula>30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2"/>
  <headerFooter>
    <oddHeader>&amp;LV6.0&amp;C&amp;"Arial Narrow,Gras"&amp;11Tableau de bord&amp;R&amp;D</oddHeader>
    <oddFooter>&amp;L&amp;8Fichier d'analyse réalisé par l'UCV
conseils@ucv.ch&amp;C&amp;G</oddFooter>
  </headerFooter>
  <rowBreaks count="1" manualBreakCount="1">
    <brk id="33" max="16383" man="1"/>
  </rowBreaks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FC177-BD88-4F50-8EE2-103A4FE61D0E}">
  <sheetPr codeName="Feuil4">
    <tabColor theme="4" tint="0.39997558519241921"/>
  </sheetPr>
  <dimension ref="A1:O281"/>
  <sheetViews>
    <sheetView showGridLines="0" showRuler="0" view="pageLayout" zoomScaleNormal="80" zoomScaleSheetLayoutView="70" workbookViewId="0">
      <selection activeCell="D110" sqref="D110"/>
    </sheetView>
  </sheetViews>
  <sheetFormatPr defaultColWidth="11" defaultRowHeight="13.5" x14ac:dyDescent="0.25"/>
  <cols>
    <col min="1" max="1" width="5.796875" customWidth="1"/>
    <col min="2" max="2" width="60.19921875" customWidth="1"/>
    <col min="3" max="8" width="16.59765625" customWidth="1"/>
    <col min="9" max="9" width="6.19921875" customWidth="1"/>
    <col min="10" max="10" width="24.3984375" customWidth="1"/>
    <col min="11" max="11" width="6.19921875" customWidth="1"/>
    <col min="12" max="14" width="20.796875" customWidth="1"/>
    <col min="15" max="15" width="20.59765625" customWidth="1"/>
  </cols>
  <sheetData>
    <row r="1" spans="1:10" ht="16.5" x14ac:dyDescent="0.3">
      <c r="A1" s="259" t="s">
        <v>170</v>
      </c>
      <c r="B1" s="259"/>
      <c r="C1" s="259">
        <f>TBAF!B1</f>
        <v>0</v>
      </c>
      <c r="D1" s="259"/>
      <c r="E1" s="259"/>
      <c r="F1" s="259"/>
      <c r="G1" s="259"/>
      <c r="H1" s="259"/>
    </row>
    <row r="2" spans="1:10" ht="4.3499999999999996" customHeight="1" thickBot="1" x14ac:dyDescent="0.3">
      <c r="A2" s="281"/>
      <c r="B2" s="281"/>
    </row>
    <row r="3" spans="1:10" ht="13.5" customHeight="1" x14ac:dyDescent="0.25">
      <c r="A3" s="305" t="s">
        <v>43</v>
      </c>
      <c r="B3" s="306"/>
      <c r="C3" s="79"/>
      <c r="D3" s="79"/>
      <c r="E3" s="79"/>
      <c r="F3" s="79"/>
      <c r="G3" s="79"/>
      <c r="H3" s="79"/>
      <c r="I3" s="79"/>
      <c r="J3" s="81"/>
    </row>
    <row r="4" spans="1:10" ht="6.6" customHeight="1" x14ac:dyDescent="0.25">
      <c r="A4" s="307"/>
      <c r="B4" s="281"/>
      <c r="J4" s="41"/>
    </row>
    <row r="5" spans="1:10" ht="13.5" customHeight="1" x14ac:dyDescent="0.25">
      <c r="A5" s="308" t="s">
        <v>163</v>
      </c>
      <c r="B5" s="309"/>
      <c r="C5" s="82">
        <f>TBAF!F2+1</f>
        <v>1</v>
      </c>
      <c r="D5" s="82">
        <f>C5+1</f>
        <v>2</v>
      </c>
      <c r="E5" s="82">
        <f>D5+1</f>
        <v>3</v>
      </c>
      <c r="F5" s="82">
        <f>E5+1</f>
        <v>4</v>
      </c>
      <c r="G5" s="82">
        <f>F5+1</f>
        <v>5</v>
      </c>
      <c r="H5" s="82">
        <f>G5+1</f>
        <v>6</v>
      </c>
      <c r="I5" s="3"/>
      <c r="J5" s="98" t="s">
        <v>171</v>
      </c>
    </row>
    <row r="6" spans="1:10" x14ac:dyDescent="0.25">
      <c r="A6" s="297" t="s">
        <v>250</v>
      </c>
      <c r="B6" s="298"/>
      <c r="C6" s="93"/>
      <c r="D6" s="93"/>
      <c r="E6" s="93"/>
      <c r="F6" s="93"/>
      <c r="G6" s="93"/>
      <c r="H6" s="93"/>
      <c r="J6" s="100">
        <v>30</v>
      </c>
    </row>
    <row r="7" spans="1:10" x14ac:dyDescent="0.25">
      <c r="A7" s="297" t="s">
        <v>162</v>
      </c>
      <c r="B7" s="298"/>
      <c r="C7" s="14"/>
      <c r="D7" s="14">
        <f>C6/J6</f>
        <v>0</v>
      </c>
      <c r="E7" s="14">
        <f>D7+(D6/J6)</f>
        <v>0</v>
      </c>
      <c r="F7" s="14">
        <f>E7+(E6/J6)</f>
        <v>0</v>
      </c>
      <c r="G7" s="14">
        <f>F7+(F6/J6)</f>
        <v>0</v>
      </c>
      <c r="H7" s="14">
        <f>G7+(G6/J6)</f>
        <v>0</v>
      </c>
      <c r="J7" s="126" t="s">
        <v>183</v>
      </c>
    </row>
    <row r="8" spans="1:10" x14ac:dyDescent="0.25">
      <c r="A8" s="297" t="s">
        <v>287</v>
      </c>
      <c r="B8" s="298"/>
      <c r="C8" s="93"/>
      <c r="D8" s="93"/>
      <c r="E8" s="93"/>
      <c r="F8" s="93"/>
      <c r="G8" s="93"/>
      <c r="H8" s="93"/>
      <c r="J8" s="127" t="s">
        <v>182</v>
      </c>
    </row>
    <row r="9" spans="1:10" x14ac:dyDescent="0.25">
      <c r="A9" s="295" t="s">
        <v>288</v>
      </c>
      <c r="B9" s="296"/>
      <c r="C9" s="93"/>
      <c r="D9" s="93"/>
      <c r="E9" s="93"/>
      <c r="F9" s="93"/>
      <c r="G9" s="93"/>
      <c r="H9" s="93"/>
      <c r="J9" s="98" t="s">
        <v>258</v>
      </c>
    </row>
    <row r="10" spans="1:10" x14ac:dyDescent="0.25">
      <c r="A10" s="299" t="s">
        <v>278</v>
      </c>
      <c r="B10" s="300"/>
      <c r="C10" s="83">
        <f t="shared" ref="C10:H10" si="0">C7+C8-C9</f>
        <v>0</v>
      </c>
      <c r="D10" s="83">
        <f t="shared" si="0"/>
        <v>0</v>
      </c>
      <c r="E10" s="83">
        <f t="shared" si="0"/>
        <v>0</v>
      </c>
      <c r="F10" s="83">
        <f t="shared" si="0"/>
        <v>0</v>
      </c>
      <c r="G10" s="83">
        <f t="shared" si="0"/>
        <v>0</v>
      </c>
      <c r="H10" s="83">
        <f t="shared" si="0"/>
        <v>0</v>
      </c>
      <c r="J10" s="100" t="s">
        <v>182</v>
      </c>
    </row>
    <row r="11" spans="1:10" x14ac:dyDescent="0.25">
      <c r="A11" s="301"/>
      <c r="B11" s="302"/>
      <c r="C11" s="2"/>
      <c r="D11" s="2"/>
      <c r="E11" s="2"/>
      <c r="F11" s="2"/>
      <c r="G11" s="2"/>
      <c r="H11" s="2"/>
      <c r="J11" s="41"/>
    </row>
    <row r="12" spans="1:10" x14ac:dyDescent="0.25">
      <c r="A12" s="303" t="s">
        <v>172</v>
      </c>
      <c r="B12" s="304"/>
      <c r="C12" s="82">
        <f t="shared" ref="C12:H12" si="1">C5</f>
        <v>1</v>
      </c>
      <c r="D12" s="82">
        <f t="shared" si="1"/>
        <v>2</v>
      </c>
      <c r="E12" s="82">
        <f t="shared" si="1"/>
        <v>3</v>
      </c>
      <c r="F12" s="82">
        <f t="shared" si="1"/>
        <v>4</v>
      </c>
      <c r="G12" s="82">
        <f t="shared" si="1"/>
        <v>5</v>
      </c>
      <c r="H12" s="82">
        <f t="shared" si="1"/>
        <v>6</v>
      </c>
      <c r="I12" s="3"/>
      <c r="J12" s="128" t="s">
        <v>171</v>
      </c>
    </row>
    <row r="13" spans="1:10" x14ac:dyDescent="0.25">
      <c r="A13" s="295" t="s">
        <v>236</v>
      </c>
      <c r="B13" s="296"/>
      <c r="C13" s="93"/>
      <c r="D13" s="93"/>
      <c r="E13" s="93"/>
      <c r="F13" s="93"/>
      <c r="G13" s="93"/>
      <c r="H13" s="93"/>
      <c r="J13" s="129">
        <v>30</v>
      </c>
    </row>
    <row r="14" spans="1:10" x14ac:dyDescent="0.25">
      <c r="A14" s="295" t="s">
        <v>162</v>
      </c>
      <c r="B14" s="296"/>
      <c r="C14" s="14"/>
      <c r="D14" s="14">
        <f>C13/J13</f>
        <v>0</v>
      </c>
      <c r="E14" s="14">
        <f>D14+(D13/J13)</f>
        <v>0</v>
      </c>
      <c r="F14" s="14">
        <f>E14+(E13/J13)</f>
        <v>0</v>
      </c>
      <c r="G14" s="14">
        <f>F14+(F13/J13)</f>
        <v>0</v>
      </c>
      <c r="H14" s="14">
        <f>G14+(G13/J13)</f>
        <v>0</v>
      </c>
      <c r="J14" s="126" t="s">
        <v>183</v>
      </c>
    </row>
    <row r="15" spans="1:10" x14ac:dyDescent="0.25">
      <c r="A15" s="297" t="s">
        <v>287</v>
      </c>
      <c r="B15" s="298"/>
      <c r="C15" s="93"/>
      <c r="D15" s="93"/>
      <c r="E15" s="93"/>
      <c r="F15" s="93"/>
      <c r="G15" s="93"/>
      <c r="H15" s="93"/>
      <c r="J15" s="100" t="s">
        <v>182</v>
      </c>
    </row>
    <row r="16" spans="1:10" x14ac:dyDescent="0.25">
      <c r="A16" s="295" t="s">
        <v>288</v>
      </c>
      <c r="B16" s="296"/>
      <c r="C16" s="93"/>
      <c r="D16" s="93"/>
      <c r="E16" s="93"/>
      <c r="F16" s="93"/>
      <c r="G16" s="93"/>
      <c r="H16" s="93"/>
      <c r="J16" s="98" t="s">
        <v>258</v>
      </c>
    </row>
    <row r="17" spans="1:14" x14ac:dyDescent="0.25">
      <c r="A17" s="299" t="s">
        <v>278</v>
      </c>
      <c r="B17" s="300"/>
      <c r="C17" s="83">
        <f t="shared" ref="C17:H17" si="2">C14+C15-C16</f>
        <v>0</v>
      </c>
      <c r="D17" s="83">
        <f t="shared" si="2"/>
        <v>0</v>
      </c>
      <c r="E17" s="83">
        <f t="shared" si="2"/>
        <v>0</v>
      </c>
      <c r="F17" s="83">
        <f t="shared" si="2"/>
        <v>0</v>
      </c>
      <c r="G17" s="83">
        <f t="shared" si="2"/>
        <v>0</v>
      </c>
      <c r="H17" s="83">
        <f t="shared" si="2"/>
        <v>0</v>
      </c>
      <c r="J17" s="100" t="s">
        <v>182</v>
      </c>
    </row>
    <row r="18" spans="1:14" x14ac:dyDescent="0.25">
      <c r="A18" s="301"/>
      <c r="B18" s="302"/>
      <c r="C18" s="2"/>
      <c r="D18" s="2"/>
      <c r="E18" s="2"/>
      <c r="F18" s="2"/>
      <c r="G18" s="2"/>
      <c r="H18" s="2"/>
      <c r="J18" s="41"/>
    </row>
    <row r="19" spans="1:14" x14ac:dyDescent="0.25">
      <c r="A19" s="303" t="s">
        <v>173</v>
      </c>
      <c r="B19" s="304"/>
      <c r="C19" s="82">
        <f t="shared" ref="C19:H19" si="3">C12</f>
        <v>1</v>
      </c>
      <c r="D19" s="82">
        <f t="shared" si="3"/>
        <v>2</v>
      </c>
      <c r="E19" s="82">
        <f t="shared" si="3"/>
        <v>3</v>
      </c>
      <c r="F19" s="82">
        <f t="shared" si="3"/>
        <v>4</v>
      </c>
      <c r="G19" s="82">
        <f t="shared" si="3"/>
        <v>5</v>
      </c>
      <c r="H19" s="82">
        <f t="shared" si="3"/>
        <v>6</v>
      </c>
      <c r="I19" s="3"/>
      <c r="J19" s="85" t="s">
        <v>171</v>
      </c>
    </row>
    <row r="20" spans="1:14" x14ac:dyDescent="0.25">
      <c r="A20" s="295" t="s">
        <v>236</v>
      </c>
      <c r="B20" s="296"/>
      <c r="C20" s="93"/>
      <c r="D20" s="93"/>
      <c r="E20" s="93"/>
      <c r="F20" s="93"/>
      <c r="G20" s="93"/>
      <c r="H20" s="93"/>
      <c r="J20" s="95">
        <v>30</v>
      </c>
    </row>
    <row r="21" spans="1:14" x14ac:dyDescent="0.25">
      <c r="A21" s="295" t="s">
        <v>162</v>
      </c>
      <c r="B21" s="296"/>
      <c r="C21" s="14"/>
      <c r="D21" s="14">
        <f>C20/J20</f>
        <v>0</v>
      </c>
      <c r="E21" s="14">
        <f>D21+(D20/J20)</f>
        <v>0</v>
      </c>
      <c r="F21" s="14">
        <f>E21+(E20/J20)</f>
        <v>0</v>
      </c>
      <c r="G21" s="14">
        <f>F21+(F20/J20)</f>
        <v>0</v>
      </c>
      <c r="H21" s="14">
        <f>G21+(G20/J20)</f>
        <v>0</v>
      </c>
      <c r="J21" s="98" t="s">
        <v>183</v>
      </c>
    </row>
    <row r="22" spans="1:14" x14ac:dyDescent="0.25">
      <c r="A22" s="297" t="s">
        <v>287</v>
      </c>
      <c r="B22" s="298"/>
      <c r="C22" s="93"/>
      <c r="D22" s="93"/>
      <c r="E22" s="93"/>
      <c r="F22" s="93"/>
      <c r="G22" s="93"/>
      <c r="H22" s="93"/>
      <c r="J22" s="100" t="s">
        <v>182</v>
      </c>
    </row>
    <row r="23" spans="1:14" x14ac:dyDescent="0.25">
      <c r="A23" s="295" t="s">
        <v>288</v>
      </c>
      <c r="B23" s="296"/>
      <c r="C23" s="93"/>
      <c r="D23" s="93"/>
      <c r="E23" s="93"/>
      <c r="F23" s="93"/>
      <c r="G23" s="93"/>
      <c r="H23" s="93"/>
      <c r="J23" s="98" t="s">
        <v>258</v>
      </c>
    </row>
    <row r="24" spans="1:14" x14ac:dyDescent="0.25">
      <c r="A24" s="299" t="s">
        <v>278</v>
      </c>
      <c r="B24" s="300"/>
      <c r="C24" s="83">
        <f t="shared" ref="C24:H24" si="4">C21+C22-C23</f>
        <v>0</v>
      </c>
      <c r="D24" s="83">
        <f t="shared" si="4"/>
        <v>0</v>
      </c>
      <c r="E24" s="83">
        <f t="shared" si="4"/>
        <v>0</v>
      </c>
      <c r="F24" s="83">
        <f t="shared" si="4"/>
        <v>0</v>
      </c>
      <c r="G24" s="83">
        <f t="shared" si="4"/>
        <v>0</v>
      </c>
      <c r="H24" s="83">
        <f t="shared" si="4"/>
        <v>0</v>
      </c>
      <c r="J24" s="100" t="s">
        <v>182</v>
      </c>
    </row>
    <row r="25" spans="1:14" x14ac:dyDescent="0.25">
      <c r="A25" s="307"/>
      <c r="B25" s="281"/>
      <c r="C25" s="2"/>
      <c r="D25" s="2"/>
      <c r="E25" s="2"/>
      <c r="F25" s="2"/>
      <c r="G25" s="2"/>
      <c r="H25" s="2"/>
      <c r="J25" s="41"/>
    </row>
    <row r="26" spans="1:14" ht="12" customHeight="1" thickBot="1" x14ac:dyDescent="0.3">
      <c r="A26" s="307"/>
      <c r="B26" s="281"/>
      <c r="C26" s="2"/>
      <c r="D26" s="2"/>
      <c r="E26" s="2"/>
      <c r="F26" s="2"/>
      <c r="G26" s="2"/>
      <c r="H26" s="2"/>
      <c r="J26" s="41"/>
    </row>
    <row r="27" spans="1:14" ht="13.5" customHeight="1" x14ac:dyDescent="0.25">
      <c r="A27" s="303" t="s">
        <v>180</v>
      </c>
      <c r="B27" s="304"/>
      <c r="C27" s="82">
        <f t="shared" ref="C27:H27" si="5">C19</f>
        <v>1</v>
      </c>
      <c r="D27" s="82">
        <f t="shared" si="5"/>
        <v>2</v>
      </c>
      <c r="E27" s="82">
        <f t="shared" si="5"/>
        <v>3</v>
      </c>
      <c r="F27" s="82">
        <f t="shared" si="5"/>
        <v>4</v>
      </c>
      <c r="G27" s="82">
        <f t="shared" si="5"/>
        <v>5</v>
      </c>
      <c r="H27" s="82">
        <f t="shared" si="5"/>
        <v>6</v>
      </c>
      <c r="I27" s="3"/>
      <c r="J27" s="84" t="s">
        <v>179</v>
      </c>
      <c r="L27" s="118" t="s">
        <v>237</v>
      </c>
      <c r="M27" s="112" t="s">
        <v>339</v>
      </c>
      <c r="N27" s="112" t="s">
        <v>238</v>
      </c>
    </row>
    <row r="28" spans="1:14" ht="13.5" customHeight="1" thickBot="1" x14ac:dyDescent="0.3">
      <c r="A28" s="310" t="s">
        <v>181</v>
      </c>
      <c r="B28" s="311"/>
      <c r="C28" s="83">
        <f>J28*Données!G92</f>
        <v>0</v>
      </c>
      <c r="D28" s="83">
        <f>$J$28*C110</f>
        <v>0</v>
      </c>
      <c r="E28" s="83">
        <f t="shared" ref="E28:H28" si="6">$J$28*D110</f>
        <v>0</v>
      </c>
      <c r="F28" s="83">
        <f t="shared" si="6"/>
        <v>0</v>
      </c>
      <c r="G28" s="83">
        <f t="shared" si="6"/>
        <v>0</v>
      </c>
      <c r="H28" s="83">
        <f t="shared" si="6"/>
        <v>0</v>
      </c>
      <c r="I28" s="3"/>
      <c r="J28" s="101">
        <v>0</v>
      </c>
      <c r="L28" s="168">
        <f>0%</f>
        <v>0</v>
      </c>
      <c r="M28" s="167" t="e">
        <f>Données!I94</f>
        <v>#DIV/0!</v>
      </c>
      <c r="N28" s="102"/>
    </row>
    <row r="29" spans="1:14" ht="8.1" customHeight="1" thickBot="1" x14ac:dyDescent="0.3">
      <c r="A29" s="146"/>
      <c r="B29" s="80"/>
      <c r="C29" s="80"/>
      <c r="D29" s="80"/>
      <c r="E29" s="80"/>
      <c r="F29" s="80"/>
      <c r="G29" s="80"/>
      <c r="H29" s="80"/>
      <c r="I29" s="35"/>
      <c r="J29" s="147"/>
      <c r="L29" s="145"/>
      <c r="M29" s="145"/>
      <c r="N29" s="145"/>
    </row>
    <row r="30" spans="1:14" ht="4.3499999999999996" customHeight="1" x14ac:dyDescent="0.25">
      <c r="A30" s="114"/>
      <c r="B30" s="2"/>
      <c r="C30" s="2"/>
      <c r="D30" s="2"/>
      <c r="E30" s="2"/>
      <c r="F30" s="2"/>
      <c r="G30" s="2"/>
      <c r="H30" s="2"/>
      <c r="J30" s="145"/>
      <c r="L30" s="145"/>
      <c r="M30" s="145"/>
      <c r="N30" s="145"/>
    </row>
    <row r="31" spans="1:14" ht="4.3499999999999996" customHeight="1" thickBot="1" x14ac:dyDescent="0.3">
      <c r="A31" s="312"/>
      <c r="B31" s="312"/>
      <c r="C31" s="2"/>
      <c r="D31" s="2"/>
      <c r="E31" s="2"/>
      <c r="F31" s="2"/>
      <c r="G31" s="2"/>
      <c r="H31" s="2"/>
    </row>
    <row r="32" spans="1:14" x14ac:dyDescent="0.25">
      <c r="A32" s="305" t="s">
        <v>289</v>
      </c>
      <c r="B32" s="306"/>
      <c r="C32" s="86"/>
      <c r="D32" s="86"/>
      <c r="E32" s="86"/>
      <c r="F32" s="86"/>
      <c r="G32" s="86"/>
      <c r="H32" s="86"/>
      <c r="I32" s="79"/>
      <c r="J32" s="81"/>
    </row>
    <row r="33" spans="1:14" ht="8.4499999999999993" customHeight="1" x14ac:dyDescent="0.25">
      <c r="A33" s="313"/>
      <c r="B33" s="283"/>
      <c r="C33" s="2"/>
      <c r="D33" s="2"/>
      <c r="E33" s="2"/>
      <c r="F33" s="2"/>
      <c r="G33" s="2"/>
      <c r="H33" s="2"/>
      <c r="J33" s="41"/>
    </row>
    <row r="34" spans="1:14" ht="14.25" thickBot="1" x14ac:dyDescent="0.3">
      <c r="A34" s="303" t="s">
        <v>290</v>
      </c>
      <c r="B34" s="304"/>
      <c r="C34" s="82">
        <f t="shared" ref="C34:H34" si="7">C19</f>
        <v>1</v>
      </c>
      <c r="D34" s="82">
        <f t="shared" si="7"/>
        <v>2</v>
      </c>
      <c r="E34" s="82">
        <f t="shared" si="7"/>
        <v>3</v>
      </c>
      <c r="F34" s="82">
        <f t="shared" si="7"/>
        <v>4</v>
      </c>
      <c r="G34" s="82">
        <f t="shared" si="7"/>
        <v>5</v>
      </c>
      <c r="H34" s="82">
        <f t="shared" si="7"/>
        <v>6</v>
      </c>
      <c r="J34" s="41"/>
    </row>
    <row r="35" spans="1:14" x14ac:dyDescent="0.25">
      <c r="A35" s="295" t="s">
        <v>188</v>
      </c>
      <c r="B35" s="296"/>
      <c r="C35" s="14">
        <f>Données!G4*(1+EP!J36)</f>
        <v>0</v>
      </c>
      <c r="D35" s="14">
        <f>(C37*(1+$J36))</f>
        <v>0</v>
      </c>
      <c r="E35" s="14">
        <f>(D37*(1+$J36))</f>
        <v>0</v>
      </c>
      <c r="F35" s="14">
        <f>(E37*(1+$J36))</f>
        <v>0</v>
      </c>
      <c r="G35" s="14">
        <f>(F37*(1+$J36))</f>
        <v>0</v>
      </c>
      <c r="H35" s="14">
        <f>(G37*(1+$J36))</f>
        <v>0</v>
      </c>
      <c r="J35" s="84" t="s">
        <v>164</v>
      </c>
      <c r="L35" s="118" t="str">
        <f>L27</f>
        <v>Taux 0.00%</v>
      </c>
      <c r="M35" s="118" t="str">
        <f t="shared" ref="M35:N35" si="8">M27</f>
        <v>Tx moyen 2017-2021</v>
      </c>
      <c r="N35" s="118" t="str">
        <f t="shared" si="8"/>
        <v>Autre taux à choix</v>
      </c>
    </row>
    <row r="36" spans="1:14" ht="14.25" thickBot="1" x14ac:dyDescent="0.3">
      <c r="A36" s="295" t="s">
        <v>177</v>
      </c>
      <c r="B36" s="296"/>
      <c r="C36" s="93"/>
      <c r="D36" s="93"/>
      <c r="E36" s="93"/>
      <c r="F36" s="93"/>
      <c r="G36" s="93"/>
      <c r="H36" s="93"/>
      <c r="J36" s="101">
        <v>0</v>
      </c>
      <c r="L36" s="168">
        <f>0%</f>
        <v>0</v>
      </c>
      <c r="M36" s="167" t="str">
        <f>Données!J4</f>
        <v>-</v>
      </c>
      <c r="N36" s="102">
        <v>0</v>
      </c>
    </row>
    <row r="37" spans="1:14" ht="14.25" thickBot="1" x14ac:dyDescent="0.3">
      <c r="A37" s="310" t="s">
        <v>189</v>
      </c>
      <c r="B37" s="311"/>
      <c r="C37" s="83">
        <f t="shared" ref="C37:H37" si="9">IF(C36&lt;&gt;0,C36,C35)</f>
        <v>0</v>
      </c>
      <c r="D37" s="83">
        <f t="shared" si="9"/>
        <v>0</v>
      </c>
      <c r="E37" s="83">
        <f t="shared" si="9"/>
        <v>0</v>
      </c>
      <c r="F37" s="83">
        <f t="shared" si="9"/>
        <v>0</v>
      </c>
      <c r="G37" s="83">
        <f t="shared" si="9"/>
        <v>0</v>
      </c>
      <c r="H37" s="83">
        <f t="shared" si="9"/>
        <v>0</v>
      </c>
      <c r="J37" s="41"/>
    </row>
    <row r="38" spans="1:14" x14ac:dyDescent="0.25">
      <c r="A38" s="295" t="s">
        <v>190</v>
      </c>
      <c r="B38" s="296"/>
      <c r="C38" s="14">
        <f>Données!G5*(1+EP!J39)</f>
        <v>0</v>
      </c>
      <c r="D38" s="14">
        <f>(C40*(1+$J39))</f>
        <v>0</v>
      </c>
      <c r="E38" s="14">
        <f>(D40*(1+$J39))</f>
        <v>0</v>
      </c>
      <c r="F38" s="14">
        <f>(E40*(1+$J39))</f>
        <v>0</v>
      </c>
      <c r="G38" s="14">
        <f>(F40*(1+$J39))</f>
        <v>0</v>
      </c>
      <c r="H38" s="14">
        <f>(G40*(1+$J39))</f>
        <v>0</v>
      </c>
      <c r="J38" s="84" t="s">
        <v>164</v>
      </c>
      <c r="L38" s="118" t="str">
        <f>L27</f>
        <v>Taux 0.00%</v>
      </c>
      <c r="M38" s="118" t="str">
        <f t="shared" ref="M38:N38" si="10">M27</f>
        <v>Tx moyen 2017-2021</v>
      </c>
      <c r="N38" s="118" t="str">
        <f t="shared" si="10"/>
        <v>Autre taux à choix</v>
      </c>
    </row>
    <row r="39" spans="1:14" ht="14.25" thickBot="1" x14ac:dyDescent="0.3">
      <c r="A39" s="295" t="s">
        <v>177</v>
      </c>
      <c r="B39" s="296"/>
      <c r="C39" s="93"/>
      <c r="D39" s="93"/>
      <c r="E39" s="93"/>
      <c r="F39" s="93"/>
      <c r="G39" s="93"/>
      <c r="H39" s="93"/>
      <c r="J39" s="101">
        <v>0</v>
      </c>
      <c r="L39" s="168">
        <f>0%</f>
        <v>0</v>
      </c>
      <c r="M39" s="167" t="str">
        <f>Données!J5</f>
        <v>-</v>
      </c>
      <c r="N39" s="102">
        <v>0</v>
      </c>
    </row>
    <row r="40" spans="1:14" x14ac:dyDescent="0.25">
      <c r="A40" s="310" t="s">
        <v>252</v>
      </c>
      <c r="B40" s="311"/>
      <c r="C40" s="83">
        <f t="shared" ref="C40:H40" si="11">IF(C39&lt;&gt;0,C39,C38)</f>
        <v>0</v>
      </c>
      <c r="D40" s="83">
        <f t="shared" si="11"/>
        <v>0</v>
      </c>
      <c r="E40" s="83">
        <f t="shared" si="11"/>
        <v>0</v>
      </c>
      <c r="F40" s="83">
        <f t="shared" si="11"/>
        <v>0</v>
      </c>
      <c r="G40" s="83">
        <f t="shared" si="11"/>
        <v>0</v>
      </c>
      <c r="H40" s="83">
        <f t="shared" si="11"/>
        <v>0</v>
      </c>
      <c r="J40" s="41"/>
    </row>
    <row r="41" spans="1:14" x14ac:dyDescent="0.25">
      <c r="A41" s="295" t="s">
        <v>191</v>
      </c>
      <c r="B41" s="296"/>
      <c r="C41" s="14">
        <f t="shared" ref="C41:H41" si="12">C28</f>
        <v>0</v>
      </c>
      <c r="D41" s="14">
        <f t="shared" si="12"/>
        <v>0</v>
      </c>
      <c r="E41" s="14">
        <f t="shared" si="12"/>
        <v>0</v>
      </c>
      <c r="F41" s="14">
        <f t="shared" si="12"/>
        <v>0</v>
      </c>
      <c r="G41" s="14">
        <f t="shared" si="12"/>
        <v>0</v>
      </c>
      <c r="H41" s="14">
        <f t="shared" si="12"/>
        <v>0</v>
      </c>
      <c r="J41" s="41"/>
    </row>
    <row r="42" spans="1:14" x14ac:dyDescent="0.25">
      <c r="A42" s="295" t="s">
        <v>193</v>
      </c>
      <c r="B42" s="296"/>
      <c r="C42" s="93"/>
      <c r="D42" s="93"/>
      <c r="E42" s="93"/>
      <c r="F42" s="93"/>
      <c r="G42" s="93"/>
      <c r="H42" s="93"/>
      <c r="J42" s="41"/>
    </row>
    <row r="43" spans="1:14" x14ac:dyDescent="0.25">
      <c r="A43" s="310" t="s">
        <v>192</v>
      </c>
      <c r="B43" s="311"/>
      <c r="C43" s="83">
        <f t="shared" ref="C43:H43" si="13">C41+C42</f>
        <v>0</v>
      </c>
      <c r="D43" s="83">
        <f t="shared" si="13"/>
        <v>0</v>
      </c>
      <c r="E43" s="83">
        <f t="shared" si="13"/>
        <v>0</v>
      </c>
      <c r="F43" s="83">
        <f t="shared" si="13"/>
        <v>0</v>
      </c>
      <c r="G43" s="83">
        <f t="shared" si="13"/>
        <v>0</v>
      </c>
      <c r="H43" s="83">
        <f t="shared" si="13"/>
        <v>0</v>
      </c>
      <c r="J43" s="41"/>
    </row>
    <row r="44" spans="1:14" x14ac:dyDescent="0.25">
      <c r="A44" s="295" t="s">
        <v>248</v>
      </c>
      <c r="B44" s="296"/>
      <c r="C44" s="14">
        <f>AF!H17+AF!H18</f>
        <v>0</v>
      </c>
      <c r="D44" s="14">
        <f>C44</f>
        <v>0</v>
      </c>
      <c r="E44" s="14">
        <f>D44</f>
        <v>0</v>
      </c>
      <c r="F44" s="14">
        <f>E44</f>
        <v>0</v>
      </c>
      <c r="G44" s="14">
        <f>F44</f>
        <v>0</v>
      </c>
      <c r="H44" s="14">
        <f>G44</f>
        <v>0</v>
      </c>
      <c r="J44" s="41"/>
    </row>
    <row r="45" spans="1:14" x14ac:dyDescent="0.25">
      <c r="A45" s="295" t="s">
        <v>193</v>
      </c>
      <c r="B45" s="296"/>
      <c r="C45" s="93"/>
      <c r="D45" s="93"/>
      <c r="E45" s="93"/>
      <c r="F45" s="93"/>
      <c r="G45" s="93"/>
      <c r="H45" s="93"/>
      <c r="J45" s="41"/>
    </row>
    <row r="46" spans="1:14" x14ac:dyDescent="0.25">
      <c r="A46" s="295" t="s">
        <v>166</v>
      </c>
      <c r="B46" s="296"/>
      <c r="C46" s="14">
        <f t="shared" ref="C46:H46" si="14">IF($J$8="OUI",C7,0)+IF($J$15="OUI",C14,0)+IF($J$22="OUI",C21,0)</f>
        <v>0</v>
      </c>
      <c r="D46" s="14">
        <f t="shared" si="14"/>
        <v>0</v>
      </c>
      <c r="E46" s="14">
        <f t="shared" si="14"/>
        <v>0</v>
      </c>
      <c r="F46" s="14">
        <f t="shared" si="14"/>
        <v>0</v>
      </c>
      <c r="G46" s="14">
        <f t="shared" si="14"/>
        <v>0</v>
      </c>
      <c r="H46" s="14">
        <f t="shared" si="14"/>
        <v>0</v>
      </c>
      <c r="J46" s="41"/>
    </row>
    <row r="47" spans="1:14" ht="14.25" thickBot="1" x14ac:dyDescent="0.3">
      <c r="A47" s="310" t="s">
        <v>194</v>
      </c>
      <c r="B47" s="311"/>
      <c r="C47" s="83">
        <f t="shared" ref="C47:H47" si="15">C44+C45+C46</f>
        <v>0</v>
      </c>
      <c r="D47" s="83">
        <f t="shared" si="15"/>
        <v>0</v>
      </c>
      <c r="E47" s="83">
        <f t="shared" si="15"/>
        <v>0</v>
      </c>
      <c r="F47" s="83">
        <f t="shared" si="15"/>
        <v>0</v>
      </c>
      <c r="G47" s="83">
        <f t="shared" si="15"/>
        <v>0</v>
      </c>
      <c r="H47" s="83">
        <f t="shared" si="15"/>
        <v>0</v>
      </c>
      <c r="J47" s="41"/>
    </row>
    <row r="48" spans="1:14" x14ac:dyDescent="0.25">
      <c r="A48" s="295" t="s">
        <v>195</v>
      </c>
      <c r="B48" s="296"/>
      <c r="C48" s="14">
        <f>Données!G14*(1+EP!J49)</f>
        <v>0</v>
      </c>
      <c r="D48" s="14">
        <f>(C50*(1+$J49))</f>
        <v>0</v>
      </c>
      <c r="E48" s="14">
        <f>(D50*(1+$J49))</f>
        <v>0</v>
      </c>
      <c r="F48" s="14">
        <f>(E50*(1+$J49))</f>
        <v>0</v>
      </c>
      <c r="G48" s="14">
        <f>(F50*(1+$J49))</f>
        <v>0</v>
      </c>
      <c r="H48" s="14">
        <f>(G50*(1+$J49))</f>
        <v>0</v>
      </c>
      <c r="J48" s="84" t="s">
        <v>164</v>
      </c>
      <c r="L48" s="118" t="str">
        <f>L27</f>
        <v>Taux 0.00%</v>
      </c>
      <c r="M48" s="118" t="str">
        <f t="shared" ref="M48:N48" si="16">M27</f>
        <v>Tx moyen 2017-2021</v>
      </c>
      <c r="N48" s="118" t="str">
        <f t="shared" si="16"/>
        <v>Autre taux à choix</v>
      </c>
    </row>
    <row r="49" spans="1:15" ht="14.25" thickBot="1" x14ac:dyDescent="0.3">
      <c r="A49" s="295" t="s">
        <v>177</v>
      </c>
      <c r="B49" s="296"/>
      <c r="C49" s="93"/>
      <c r="D49" s="93"/>
      <c r="E49" s="93"/>
      <c r="F49" s="93"/>
      <c r="G49" s="93"/>
      <c r="H49" s="93"/>
      <c r="J49" s="101">
        <v>0</v>
      </c>
      <c r="L49" s="168">
        <f>0%</f>
        <v>0</v>
      </c>
      <c r="M49" s="167" t="str">
        <f>Données!J14</f>
        <v>-</v>
      </c>
      <c r="N49" s="102">
        <v>0</v>
      </c>
    </row>
    <row r="50" spans="1:15" ht="14.25" thickBot="1" x14ac:dyDescent="0.3">
      <c r="A50" s="310" t="s">
        <v>198</v>
      </c>
      <c r="B50" s="311"/>
      <c r="C50" s="83">
        <f t="shared" ref="C50:H50" si="17">IF(C49&lt;&gt;0,C49,C48)</f>
        <v>0</v>
      </c>
      <c r="D50" s="83">
        <f t="shared" si="17"/>
        <v>0</v>
      </c>
      <c r="E50" s="83">
        <f t="shared" si="17"/>
        <v>0</v>
      </c>
      <c r="F50" s="83">
        <f t="shared" si="17"/>
        <v>0</v>
      </c>
      <c r="G50" s="83">
        <f t="shared" si="17"/>
        <v>0</v>
      </c>
      <c r="H50" s="83">
        <f t="shared" si="17"/>
        <v>0</v>
      </c>
      <c r="J50" s="41"/>
    </row>
    <row r="51" spans="1:15" x14ac:dyDescent="0.25">
      <c r="A51" s="295" t="s">
        <v>196</v>
      </c>
      <c r="B51" s="296"/>
      <c r="C51" s="14">
        <f>Données!G15*(1+EP!J52)</f>
        <v>0</v>
      </c>
      <c r="D51" s="14">
        <f>(C53*(1+$J52))</f>
        <v>0</v>
      </c>
      <c r="E51" s="14">
        <f>(D53*(1+$J52))</f>
        <v>0</v>
      </c>
      <c r="F51" s="14">
        <f>(E53*(1+$J52))</f>
        <v>0</v>
      </c>
      <c r="G51" s="14">
        <f>(F53*(1+$J52))</f>
        <v>0</v>
      </c>
      <c r="H51" s="14">
        <f>(G53*(1+$J52))</f>
        <v>0</v>
      </c>
      <c r="J51" s="84" t="s">
        <v>164</v>
      </c>
      <c r="L51" s="118" t="str">
        <f>L27</f>
        <v>Taux 0.00%</v>
      </c>
      <c r="M51" s="118" t="str">
        <f t="shared" ref="M51:N51" si="18">M27</f>
        <v>Tx moyen 2017-2021</v>
      </c>
      <c r="N51" s="118" t="str">
        <f t="shared" si="18"/>
        <v>Autre taux à choix</v>
      </c>
    </row>
    <row r="52" spans="1:15" ht="14.25" thickBot="1" x14ac:dyDescent="0.3">
      <c r="A52" s="295" t="s">
        <v>177</v>
      </c>
      <c r="B52" s="296"/>
      <c r="C52" s="93"/>
      <c r="D52" s="93"/>
      <c r="E52" s="93"/>
      <c r="F52" s="93"/>
      <c r="G52" s="93"/>
      <c r="H52" s="93"/>
      <c r="J52" s="101">
        <v>0</v>
      </c>
      <c r="L52" s="168">
        <f>0%</f>
        <v>0</v>
      </c>
      <c r="M52" s="167" t="str">
        <f>Données!J15</f>
        <v>-</v>
      </c>
      <c r="N52" s="102">
        <v>0</v>
      </c>
    </row>
    <row r="53" spans="1:15" x14ac:dyDescent="0.25">
      <c r="A53" s="310" t="s">
        <v>197</v>
      </c>
      <c r="B53" s="311"/>
      <c r="C53" s="83">
        <f t="shared" ref="C53:H53" si="19">IF(C52&lt;&gt;0,C52,C51)</f>
        <v>0</v>
      </c>
      <c r="D53" s="83">
        <f t="shared" si="19"/>
        <v>0</v>
      </c>
      <c r="E53" s="83">
        <f t="shared" si="19"/>
        <v>0</v>
      </c>
      <c r="F53" s="83">
        <f t="shared" si="19"/>
        <v>0</v>
      </c>
      <c r="G53" s="83">
        <f t="shared" si="19"/>
        <v>0</v>
      </c>
      <c r="H53" s="83">
        <f t="shared" si="19"/>
        <v>0</v>
      </c>
      <c r="J53" s="41"/>
    </row>
    <row r="54" spans="1:15" x14ac:dyDescent="0.25">
      <c r="A54" s="295" t="s">
        <v>201</v>
      </c>
      <c r="B54" s="296"/>
      <c r="C54" s="14">
        <f>IF(SUM(Données!C17:G17)=0,0,Données!I17)</f>
        <v>0</v>
      </c>
      <c r="D54" s="14">
        <f>C54</f>
        <v>0</v>
      </c>
      <c r="E54" s="14">
        <f>D54</f>
        <v>0</v>
      </c>
      <c r="F54" s="14">
        <f>E54</f>
        <v>0</v>
      </c>
      <c r="G54" s="14">
        <f>F54</f>
        <v>0</v>
      </c>
      <c r="H54" s="14">
        <f>G54</f>
        <v>0</v>
      </c>
      <c r="J54" s="41"/>
    </row>
    <row r="55" spans="1:15" x14ac:dyDescent="0.25">
      <c r="A55" s="295" t="s">
        <v>193</v>
      </c>
      <c r="B55" s="296"/>
      <c r="C55" s="93"/>
      <c r="D55" s="93"/>
      <c r="E55" s="93"/>
      <c r="F55" s="93"/>
      <c r="G55" s="93"/>
      <c r="H55" s="93"/>
      <c r="J55" s="41"/>
    </row>
    <row r="56" spans="1:15" x14ac:dyDescent="0.25">
      <c r="A56" s="310" t="s">
        <v>202</v>
      </c>
      <c r="B56" s="311"/>
      <c r="C56" s="83">
        <f t="shared" ref="C56:H56" si="20">C54+C55</f>
        <v>0</v>
      </c>
      <c r="D56" s="83">
        <f t="shared" si="20"/>
        <v>0</v>
      </c>
      <c r="E56" s="83">
        <f t="shared" si="20"/>
        <v>0</v>
      </c>
      <c r="F56" s="83">
        <f t="shared" si="20"/>
        <v>0</v>
      </c>
      <c r="G56" s="83">
        <f t="shared" si="20"/>
        <v>0</v>
      </c>
      <c r="H56" s="83">
        <f t="shared" si="20"/>
        <v>0</v>
      </c>
      <c r="J56" s="41"/>
    </row>
    <row r="57" spans="1:15" x14ac:dyDescent="0.25">
      <c r="A57" s="310" t="s">
        <v>291</v>
      </c>
      <c r="B57" s="311"/>
      <c r="C57" s="83">
        <f t="shared" ref="C57:H57" si="21">IF($J$8="OUI",IF(C8&gt;0,C8,0),0)+IF($J$15="OUI",IF(C15&gt;0,C15,0),0)+IF($J$22="OUI",IF(C22&gt;0,C22,0),0)</f>
        <v>0</v>
      </c>
      <c r="D57" s="83">
        <f t="shared" si="21"/>
        <v>0</v>
      </c>
      <c r="E57" s="83">
        <f t="shared" si="21"/>
        <v>0</v>
      </c>
      <c r="F57" s="83">
        <f t="shared" si="21"/>
        <v>0</v>
      </c>
      <c r="G57" s="83">
        <f t="shared" si="21"/>
        <v>0</v>
      </c>
      <c r="H57" s="83">
        <f t="shared" si="21"/>
        <v>0</v>
      </c>
      <c r="J57" s="41"/>
    </row>
    <row r="58" spans="1:15" x14ac:dyDescent="0.25">
      <c r="A58" s="314" t="s">
        <v>294</v>
      </c>
      <c r="B58" s="315"/>
      <c r="C58" s="103">
        <f>C37+C40+C43+C47+C50+C53+C56+C57</f>
        <v>0</v>
      </c>
      <c r="D58" s="103">
        <f>D37+D40+D43+D47+D50+D53+D56+D57</f>
        <v>0</v>
      </c>
      <c r="E58" s="103">
        <f t="shared" ref="E58:H58" si="22">E37+E40+E43+E47+E50+E53+E56+E57</f>
        <v>0</v>
      </c>
      <c r="F58" s="103">
        <f t="shared" si="22"/>
        <v>0</v>
      </c>
      <c r="G58" s="103">
        <f t="shared" si="22"/>
        <v>0</v>
      </c>
      <c r="H58" s="103">
        <f t="shared" si="22"/>
        <v>0</v>
      </c>
      <c r="J58" s="41"/>
    </row>
    <row r="59" spans="1:15" ht="4.3499999999999996" customHeight="1" thickBot="1" x14ac:dyDescent="0.3">
      <c r="A59" s="316"/>
      <c r="B59" s="317"/>
      <c r="C59" s="80"/>
      <c r="D59" s="80"/>
      <c r="E59" s="80"/>
      <c r="F59" s="80"/>
      <c r="G59" s="80"/>
      <c r="H59" s="80"/>
      <c r="I59" s="35"/>
      <c r="J59" s="36"/>
    </row>
    <row r="60" spans="1:15" ht="4.3499999999999996" customHeight="1" thickBot="1" x14ac:dyDescent="0.3">
      <c r="A60" s="174"/>
      <c r="B60" s="174"/>
      <c r="C60" s="199"/>
      <c r="D60" s="199"/>
      <c r="E60" s="199"/>
      <c r="F60" s="199"/>
      <c r="G60" s="199"/>
      <c r="H60" s="199"/>
      <c r="I60" s="200"/>
      <c r="J60" s="200"/>
    </row>
    <row r="61" spans="1:15" ht="12.95" customHeight="1" x14ac:dyDescent="0.25">
      <c r="A61" s="305" t="s">
        <v>289</v>
      </c>
      <c r="B61" s="306"/>
      <c r="C61" s="86"/>
      <c r="D61" s="86"/>
      <c r="E61" s="86"/>
      <c r="F61" s="86"/>
      <c r="G61" s="86"/>
      <c r="H61" s="86"/>
      <c r="I61" s="79"/>
      <c r="J61" s="81"/>
    </row>
    <row r="62" spans="1:15" ht="8.4499999999999993" customHeight="1" x14ac:dyDescent="0.25">
      <c r="A62" s="192"/>
      <c r="B62" s="193"/>
      <c r="C62" s="194"/>
      <c r="D62" s="194"/>
      <c r="E62" s="194"/>
      <c r="F62" s="194"/>
      <c r="G62" s="194"/>
      <c r="H62" s="194"/>
      <c r="I62" s="195"/>
      <c r="J62" s="196"/>
    </row>
    <row r="63" spans="1:15" ht="14.25" thickBot="1" x14ac:dyDescent="0.3">
      <c r="A63" s="303" t="s">
        <v>292</v>
      </c>
      <c r="B63" s="304"/>
      <c r="C63" s="82">
        <f t="shared" ref="C63:H63" si="23">C34</f>
        <v>1</v>
      </c>
      <c r="D63" s="82">
        <f t="shared" si="23"/>
        <v>2</v>
      </c>
      <c r="E63" s="82">
        <f t="shared" si="23"/>
        <v>3</v>
      </c>
      <c r="F63" s="82">
        <f t="shared" si="23"/>
        <v>4</v>
      </c>
      <c r="G63" s="82">
        <f t="shared" si="23"/>
        <v>5</v>
      </c>
      <c r="H63" s="82">
        <f t="shared" si="23"/>
        <v>6</v>
      </c>
      <c r="J63" s="41"/>
    </row>
    <row r="64" spans="1:15" x14ac:dyDescent="0.25">
      <c r="A64" s="295" t="s">
        <v>200</v>
      </c>
      <c r="B64" s="296"/>
      <c r="C64" s="14">
        <f>Données!G22*(1+EP!J65)</f>
        <v>0</v>
      </c>
      <c r="D64" s="14">
        <f>C69*(1+$J65)</f>
        <v>0</v>
      </c>
      <c r="E64" s="14">
        <f>D69*(1+$J65)</f>
        <v>0</v>
      </c>
      <c r="F64" s="14">
        <f>E69*(1+$J65)</f>
        <v>0</v>
      </c>
      <c r="G64" s="14">
        <f>F69*(1+$J65)</f>
        <v>0</v>
      </c>
      <c r="H64" s="14">
        <f>G69*(1+$J65)</f>
        <v>0</v>
      </c>
      <c r="J64" s="84" t="s">
        <v>164</v>
      </c>
      <c r="L64" s="118" t="str">
        <f>L27</f>
        <v>Taux 0.00%</v>
      </c>
      <c r="M64" s="118" t="str">
        <f>M27</f>
        <v>Tx moyen 2017-2021</v>
      </c>
      <c r="N64" s="112" t="s">
        <v>261</v>
      </c>
      <c r="O64" s="112" t="str">
        <f>N27</f>
        <v>Autre taux à choix</v>
      </c>
    </row>
    <row r="65" spans="1:15" ht="14.25" thickBot="1" x14ac:dyDescent="0.3">
      <c r="A65" s="318" t="s">
        <v>279</v>
      </c>
      <c r="B65" s="319"/>
      <c r="C65" s="325">
        <f>IF(AND($B$66&lt;&gt;0,$B$67=$C$63),((TBAF!$F$18)*(1+EP!$J$65)^1)*$B$66,0)</f>
        <v>0</v>
      </c>
      <c r="D65" s="325">
        <f>IF(AND($B$66&lt;&gt;0,$B$67=$D$63),((TBAF!$F$18)*(1+EP!$J$65)^2)*$B$66,0)</f>
        <v>0</v>
      </c>
      <c r="E65" s="325">
        <f>IF(AND($B$66&lt;&gt;0,$B$67=$E$63),((TBAF!$F$18)*(1+EP!$J$65)^3)*$B$66,0)</f>
        <v>0</v>
      </c>
      <c r="F65" s="325">
        <f>IF(AND($B$66&lt;&gt;0,$B$67=$F$63),((TBAF!$F$18)*(1+EP!$J$65)^4)*$B$66,0)</f>
        <v>0</v>
      </c>
      <c r="G65" s="325">
        <f>IF(AND($B$66&lt;&gt;0,$B$67=$G$63),((TBAF!$F$18)*(1+EP!$J$65)^5)*$B$66,0)</f>
        <v>0</v>
      </c>
      <c r="H65" s="325">
        <f>IF(AND($B$66&lt;&gt;0,$B$67=$H$63),((TBAF!$F$18)*(1+EP!$J$65)^6)*$B$66,0)</f>
        <v>0</v>
      </c>
      <c r="J65" s="101">
        <v>0</v>
      </c>
      <c r="L65" s="168">
        <f>0%</f>
        <v>0</v>
      </c>
      <c r="M65" s="167" t="str">
        <f>Données!J22</f>
        <v>-</v>
      </c>
      <c r="N65" s="167" t="str">
        <f>TBAF!I18</f>
        <v>-</v>
      </c>
      <c r="O65" s="102"/>
    </row>
    <row r="66" spans="1:15" x14ac:dyDescent="0.25">
      <c r="A66" s="132" t="s">
        <v>260</v>
      </c>
      <c r="B66" s="197"/>
      <c r="C66" s="326"/>
      <c r="D66" s="326"/>
      <c r="E66" s="326"/>
      <c r="F66" s="326"/>
      <c r="G66" s="326"/>
      <c r="H66" s="326"/>
      <c r="J66" s="41"/>
    </row>
    <row r="67" spans="1:15" x14ac:dyDescent="0.25">
      <c r="A67" s="133" t="s">
        <v>259</v>
      </c>
      <c r="B67" s="198"/>
      <c r="C67" s="327"/>
      <c r="D67" s="327"/>
      <c r="E67" s="327"/>
      <c r="F67" s="327"/>
      <c r="G67" s="327"/>
      <c r="H67" s="327"/>
      <c r="J67" s="41"/>
    </row>
    <row r="68" spans="1:15" x14ac:dyDescent="0.25">
      <c r="A68" s="295" t="s">
        <v>177</v>
      </c>
      <c r="B68" s="296"/>
      <c r="C68" s="93"/>
      <c r="D68" s="93"/>
      <c r="E68" s="93"/>
      <c r="F68" s="93"/>
      <c r="G68" s="93"/>
      <c r="H68" s="93"/>
      <c r="J68" s="41"/>
    </row>
    <row r="69" spans="1:15" ht="14.25" thickBot="1" x14ac:dyDescent="0.3">
      <c r="A69" s="310" t="s">
        <v>199</v>
      </c>
      <c r="B69" s="311"/>
      <c r="C69" s="83">
        <f>IF(C68&lt;&gt;0,C68,C64+C65)</f>
        <v>0</v>
      </c>
      <c r="D69" s="83">
        <f t="shared" ref="D69:H69" si="24">IF(D68&lt;&gt;0,D68,D64+D65)</f>
        <v>0</v>
      </c>
      <c r="E69" s="83">
        <f t="shared" si="24"/>
        <v>0</v>
      </c>
      <c r="F69" s="83">
        <f t="shared" si="24"/>
        <v>0</v>
      </c>
      <c r="G69" s="83">
        <f t="shared" si="24"/>
        <v>0</v>
      </c>
      <c r="H69" s="83">
        <f t="shared" si="24"/>
        <v>0</v>
      </c>
      <c r="J69" s="41"/>
    </row>
    <row r="70" spans="1:15" x14ac:dyDescent="0.25">
      <c r="A70" s="295" t="s">
        <v>203</v>
      </c>
      <c r="B70" s="296"/>
      <c r="C70" s="14">
        <f>Données!G25*(1+EP!J71)</f>
        <v>0</v>
      </c>
      <c r="D70" s="14">
        <f>C72*(1+$J71)</f>
        <v>0</v>
      </c>
      <c r="E70" s="14">
        <f>D72*(1+$J71)</f>
        <v>0</v>
      </c>
      <c r="F70" s="14">
        <f>E72*(1+$J71)</f>
        <v>0</v>
      </c>
      <c r="G70" s="14">
        <f>F72*(1+$J71)</f>
        <v>0</v>
      </c>
      <c r="H70" s="14">
        <f>G72*(1+$J71)</f>
        <v>0</v>
      </c>
      <c r="J70" s="84" t="s">
        <v>164</v>
      </c>
      <c r="L70" s="118" t="str">
        <f>L27</f>
        <v>Taux 0.00%</v>
      </c>
      <c r="M70" s="118" t="str">
        <f t="shared" ref="M70:N70" si="25">M27</f>
        <v>Tx moyen 2017-2021</v>
      </c>
      <c r="N70" s="118" t="str">
        <f t="shared" si="25"/>
        <v>Autre taux à choix</v>
      </c>
    </row>
    <row r="71" spans="1:15" ht="14.25" thickBot="1" x14ac:dyDescent="0.3">
      <c r="A71" s="295" t="s">
        <v>177</v>
      </c>
      <c r="B71" s="296"/>
      <c r="C71" s="93"/>
      <c r="D71" s="93"/>
      <c r="E71" s="93"/>
      <c r="F71" s="93"/>
      <c r="G71" s="93"/>
      <c r="H71" s="93"/>
      <c r="J71" s="101">
        <v>0</v>
      </c>
      <c r="L71" s="168">
        <f>0%</f>
        <v>0</v>
      </c>
      <c r="M71" s="167" t="str">
        <f>Données!J25</f>
        <v>-</v>
      </c>
      <c r="N71" s="102"/>
    </row>
    <row r="72" spans="1:15" ht="14.25" thickBot="1" x14ac:dyDescent="0.3">
      <c r="A72" s="310" t="s">
        <v>204</v>
      </c>
      <c r="B72" s="311"/>
      <c r="C72" s="83">
        <f t="shared" ref="C72:H72" si="26">IF(C71&lt;&gt;0,C71,C70)</f>
        <v>0</v>
      </c>
      <c r="D72" s="83">
        <f t="shared" si="26"/>
        <v>0</v>
      </c>
      <c r="E72" s="83">
        <f t="shared" si="26"/>
        <v>0</v>
      </c>
      <c r="F72" s="83">
        <f t="shared" si="26"/>
        <v>0</v>
      </c>
      <c r="G72" s="83">
        <f t="shared" si="26"/>
        <v>0</v>
      </c>
      <c r="H72" s="83">
        <f t="shared" si="26"/>
        <v>0</v>
      </c>
      <c r="J72" s="41"/>
    </row>
    <row r="73" spans="1:15" x14ac:dyDescent="0.25">
      <c r="A73" s="295" t="s">
        <v>249</v>
      </c>
      <c r="B73" s="296"/>
      <c r="C73" s="14">
        <f>(Données!G26-Données!G27)*(1+EP!J74)</f>
        <v>0</v>
      </c>
      <c r="D73" s="14">
        <f>C75*(1+$J74)</f>
        <v>0</v>
      </c>
      <c r="E73" s="14">
        <f>D75*(1+$J74)</f>
        <v>0</v>
      </c>
      <c r="F73" s="14">
        <f>E75*(1+$J74)</f>
        <v>0</v>
      </c>
      <c r="G73" s="14">
        <f>F75*(1+$J74)</f>
        <v>0</v>
      </c>
      <c r="H73" s="14">
        <f>G75*(1+$J74)</f>
        <v>0</v>
      </c>
      <c r="J73" s="84" t="s">
        <v>164</v>
      </c>
      <c r="L73" s="118" t="str">
        <f>L27</f>
        <v>Taux 0.00%</v>
      </c>
      <c r="M73" s="118" t="str">
        <f t="shared" ref="M73:N73" si="27">M27</f>
        <v>Tx moyen 2017-2021</v>
      </c>
      <c r="N73" s="118" t="str">
        <f t="shared" si="27"/>
        <v>Autre taux à choix</v>
      </c>
    </row>
    <row r="74" spans="1:15" ht="14.25" thickBot="1" x14ac:dyDescent="0.3">
      <c r="A74" s="295" t="s">
        <v>177</v>
      </c>
      <c r="B74" s="296"/>
      <c r="C74" s="93"/>
      <c r="D74" s="93"/>
      <c r="E74" s="93"/>
      <c r="F74" s="93"/>
      <c r="G74" s="93"/>
      <c r="H74" s="93"/>
      <c r="J74" s="101">
        <v>0</v>
      </c>
      <c r="L74" s="168">
        <f>0%</f>
        <v>0</v>
      </c>
      <c r="M74" s="167" t="str">
        <f>Données!J26</f>
        <v>-</v>
      </c>
      <c r="N74" s="102"/>
    </row>
    <row r="75" spans="1:15" ht="14.25" thickBot="1" x14ac:dyDescent="0.3">
      <c r="A75" s="310" t="s">
        <v>205</v>
      </c>
      <c r="B75" s="311"/>
      <c r="C75" s="83">
        <f t="shared" ref="C75:H75" si="28">IF(C74&lt;&gt;0,C74,C73)</f>
        <v>0</v>
      </c>
      <c r="D75" s="83">
        <f t="shared" si="28"/>
        <v>0</v>
      </c>
      <c r="E75" s="83">
        <f t="shared" si="28"/>
        <v>0</v>
      </c>
      <c r="F75" s="83">
        <f t="shared" si="28"/>
        <v>0</v>
      </c>
      <c r="G75" s="83">
        <f t="shared" si="28"/>
        <v>0</v>
      </c>
      <c r="H75" s="83">
        <f t="shared" si="28"/>
        <v>0</v>
      </c>
      <c r="J75" s="41"/>
    </row>
    <row r="76" spans="1:15" x14ac:dyDescent="0.25">
      <c r="A76" s="295" t="s">
        <v>206</v>
      </c>
      <c r="B76" s="296"/>
      <c r="C76" s="14">
        <f>Données!G30*(1+EP!J77)</f>
        <v>0</v>
      </c>
      <c r="D76" s="14">
        <f>C78*(1+$J77)</f>
        <v>0</v>
      </c>
      <c r="E76" s="14">
        <f>D78*(1+$J77)</f>
        <v>0</v>
      </c>
      <c r="F76" s="14">
        <f>E78*(1+$J77)</f>
        <v>0</v>
      </c>
      <c r="G76" s="14">
        <f>F78*(1+$J77)</f>
        <v>0</v>
      </c>
      <c r="H76" s="14">
        <f>G78*(1+$J77)</f>
        <v>0</v>
      </c>
      <c r="J76" s="84" t="s">
        <v>164</v>
      </c>
      <c r="L76" s="118" t="str">
        <f>L27</f>
        <v>Taux 0.00%</v>
      </c>
      <c r="M76" s="118" t="str">
        <f t="shared" ref="M76:N76" si="29">M27</f>
        <v>Tx moyen 2017-2021</v>
      </c>
      <c r="N76" s="118" t="str">
        <f t="shared" si="29"/>
        <v>Autre taux à choix</v>
      </c>
    </row>
    <row r="77" spans="1:15" ht="14.25" thickBot="1" x14ac:dyDescent="0.3">
      <c r="A77" s="295" t="s">
        <v>177</v>
      </c>
      <c r="B77" s="296"/>
      <c r="C77" s="93"/>
      <c r="D77" s="93"/>
      <c r="E77" s="93"/>
      <c r="F77" s="93"/>
      <c r="G77" s="93"/>
      <c r="H77" s="93"/>
      <c r="J77" s="101">
        <v>0</v>
      </c>
      <c r="L77" s="168">
        <f>0%</f>
        <v>0</v>
      </c>
      <c r="M77" s="167" t="str">
        <f>Données!J30</f>
        <v>-</v>
      </c>
      <c r="N77" s="102"/>
    </row>
    <row r="78" spans="1:15" ht="14.25" thickBot="1" x14ac:dyDescent="0.3">
      <c r="A78" s="310" t="s">
        <v>207</v>
      </c>
      <c r="B78" s="311"/>
      <c r="C78" s="83">
        <f t="shared" ref="C78:H78" si="30">IF(C77&lt;&gt;0,C77,C76)</f>
        <v>0</v>
      </c>
      <c r="D78" s="83">
        <f t="shared" si="30"/>
        <v>0</v>
      </c>
      <c r="E78" s="83">
        <f t="shared" si="30"/>
        <v>0</v>
      </c>
      <c r="F78" s="83">
        <f t="shared" si="30"/>
        <v>0</v>
      </c>
      <c r="G78" s="83">
        <f t="shared" si="30"/>
        <v>0</v>
      </c>
      <c r="H78" s="83">
        <f t="shared" si="30"/>
        <v>0</v>
      </c>
      <c r="J78" s="41"/>
    </row>
    <row r="79" spans="1:15" x14ac:dyDescent="0.25">
      <c r="A79" s="295" t="s">
        <v>208</v>
      </c>
      <c r="B79" s="296"/>
      <c r="C79" s="14">
        <f>Données!G32*(1+EP!J80)</f>
        <v>0</v>
      </c>
      <c r="D79" s="14">
        <f>C81*(1+$J80)</f>
        <v>0</v>
      </c>
      <c r="E79" s="14">
        <f>D81*(1+$J80)</f>
        <v>0</v>
      </c>
      <c r="F79" s="14">
        <f>E81*(1+$J80)</f>
        <v>0</v>
      </c>
      <c r="G79" s="14">
        <f>F81*(1+$J80)</f>
        <v>0</v>
      </c>
      <c r="H79" s="14">
        <f>G81*(1+$J80)</f>
        <v>0</v>
      </c>
      <c r="J79" s="84" t="s">
        <v>164</v>
      </c>
      <c r="L79" s="118" t="str">
        <f>L27</f>
        <v>Taux 0.00%</v>
      </c>
      <c r="M79" s="118" t="str">
        <f t="shared" ref="M79:N79" si="31">M27</f>
        <v>Tx moyen 2017-2021</v>
      </c>
      <c r="N79" s="118" t="str">
        <f t="shared" si="31"/>
        <v>Autre taux à choix</v>
      </c>
    </row>
    <row r="80" spans="1:15" ht="14.25" thickBot="1" x14ac:dyDescent="0.3">
      <c r="A80" s="295" t="s">
        <v>177</v>
      </c>
      <c r="B80" s="296"/>
      <c r="C80" s="93"/>
      <c r="D80" s="93"/>
      <c r="E80" s="93"/>
      <c r="F80" s="93"/>
      <c r="G80" s="93"/>
      <c r="H80" s="93"/>
      <c r="J80" s="101">
        <v>0</v>
      </c>
      <c r="L80" s="168">
        <f>0%</f>
        <v>0</v>
      </c>
      <c r="M80" s="167" t="str">
        <f>Données!J32</f>
        <v>-</v>
      </c>
      <c r="N80" s="102"/>
    </row>
    <row r="81" spans="1:14" ht="14.25" thickBot="1" x14ac:dyDescent="0.3">
      <c r="A81" s="310" t="s">
        <v>209</v>
      </c>
      <c r="B81" s="311"/>
      <c r="C81" s="83">
        <f t="shared" ref="C81:H81" si="32">IF(C80&lt;&gt;0,C80,C79)</f>
        <v>0</v>
      </c>
      <c r="D81" s="83">
        <f t="shared" si="32"/>
        <v>0</v>
      </c>
      <c r="E81" s="83">
        <f t="shared" si="32"/>
        <v>0</v>
      </c>
      <c r="F81" s="83">
        <f t="shared" si="32"/>
        <v>0</v>
      </c>
      <c r="G81" s="83">
        <f t="shared" si="32"/>
        <v>0</v>
      </c>
      <c r="H81" s="83">
        <f t="shared" si="32"/>
        <v>0</v>
      </c>
      <c r="J81" s="41"/>
    </row>
    <row r="82" spans="1:14" x14ac:dyDescent="0.25">
      <c r="A82" s="295" t="s">
        <v>210</v>
      </c>
      <c r="B82" s="296"/>
      <c r="C82" s="14">
        <f>Données!G33*(1+EP!J83)</f>
        <v>0</v>
      </c>
      <c r="D82" s="14">
        <f>C84*(1+$J83)</f>
        <v>0</v>
      </c>
      <c r="E82" s="14">
        <f>D84*(1+$J83)</f>
        <v>0</v>
      </c>
      <c r="F82" s="14">
        <f>E84*(1+$J83)</f>
        <v>0</v>
      </c>
      <c r="G82" s="14">
        <f>F84*(1+$J83)</f>
        <v>0</v>
      </c>
      <c r="H82" s="14">
        <f>G84*(1+$J83)</f>
        <v>0</v>
      </c>
      <c r="J82" s="84" t="s">
        <v>164</v>
      </c>
      <c r="L82" s="118" t="str">
        <f>L27</f>
        <v>Taux 0.00%</v>
      </c>
      <c r="M82" s="118" t="str">
        <f t="shared" ref="M82:N82" si="33">M27</f>
        <v>Tx moyen 2017-2021</v>
      </c>
      <c r="N82" s="118" t="str">
        <f t="shared" si="33"/>
        <v>Autre taux à choix</v>
      </c>
    </row>
    <row r="83" spans="1:14" ht="14.25" thickBot="1" x14ac:dyDescent="0.3">
      <c r="A83" s="295" t="s">
        <v>177</v>
      </c>
      <c r="B83" s="296"/>
      <c r="C83" s="93"/>
      <c r="D83" s="93"/>
      <c r="E83" s="93"/>
      <c r="F83" s="93"/>
      <c r="G83" s="93"/>
      <c r="H83" s="93"/>
      <c r="J83" s="101">
        <v>0</v>
      </c>
      <c r="L83" s="168">
        <f>0%</f>
        <v>0</v>
      </c>
      <c r="M83" s="167" t="str">
        <f>Données!J33</f>
        <v>-</v>
      </c>
      <c r="N83" s="102">
        <v>0.03</v>
      </c>
    </row>
    <row r="84" spans="1:14" ht="14.25" thickBot="1" x14ac:dyDescent="0.3">
      <c r="A84" s="310" t="s">
        <v>211</v>
      </c>
      <c r="B84" s="311"/>
      <c r="C84" s="83">
        <f t="shared" ref="C84:H84" si="34">IF(C83&lt;&gt;0,C83,C82)</f>
        <v>0</v>
      </c>
      <c r="D84" s="83">
        <f t="shared" si="34"/>
        <v>0</v>
      </c>
      <c r="E84" s="83">
        <f t="shared" si="34"/>
        <v>0</v>
      </c>
      <c r="F84" s="83">
        <f t="shared" si="34"/>
        <v>0</v>
      </c>
      <c r="G84" s="83">
        <f t="shared" si="34"/>
        <v>0</v>
      </c>
      <c r="H84" s="83">
        <f t="shared" si="34"/>
        <v>0</v>
      </c>
      <c r="J84" s="41"/>
    </row>
    <row r="85" spans="1:14" x14ac:dyDescent="0.25">
      <c r="A85" s="295" t="s">
        <v>224</v>
      </c>
      <c r="B85" s="296"/>
      <c r="C85" s="14">
        <f>Données!G34*(1+EP!J86)</f>
        <v>0</v>
      </c>
      <c r="D85" s="14">
        <f>C87*(1+$J86)</f>
        <v>0</v>
      </c>
      <c r="E85" s="14">
        <f>D87*(1+$J86)</f>
        <v>0</v>
      </c>
      <c r="F85" s="14">
        <f>E87*(1+$J86)</f>
        <v>0</v>
      </c>
      <c r="G85" s="14">
        <f>F87*(1+$J86)</f>
        <v>0</v>
      </c>
      <c r="H85" s="14">
        <f>G87*(1+$J86)</f>
        <v>0</v>
      </c>
      <c r="J85" s="84" t="s">
        <v>164</v>
      </c>
      <c r="L85" s="118" t="str">
        <f>L27</f>
        <v>Taux 0.00%</v>
      </c>
      <c r="M85" s="118" t="str">
        <f t="shared" ref="M85:N85" si="35">M27</f>
        <v>Tx moyen 2017-2021</v>
      </c>
      <c r="N85" s="118" t="str">
        <f t="shared" si="35"/>
        <v>Autre taux à choix</v>
      </c>
    </row>
    <row r="86" spans="1:14" ht="14.25" thickBot="1" x14ac:dyDescent="0.3">
      <c r="A86" s="295" t="s">
        <v>177</v>
      </c>
      <c r="B86" s="296"/>
      <c r="C86" s="93"/>
      <c r="D86" s="93"/>
      <c r="E86" s="93"/>
      <c r="F86" s="93"/>
      <c r="G86" s="93"/>
      <c r="H86" s="93"/>
      <c r="J86" s="101">
        <v>0</v>
      </c>
      <c r="L86" s="168">
        <f>0%</f>
        <v>0</v>
      </c>
      <c r="M86" s="167" t="str">
        <f>Données!J34</f>
        <v>-</v>
      </c>
      <c r="N86" s="102"/>
    </row>
    <row r="87" spans="1:14" x14ac:dyDescent="0.25">
      <c r="A87" s="310" t="s">
        <v>225</v>
      </c>
      <c r="B87" s="311"/>
      <c r="C87" s="83">
        <f t="shared" ref="C87:H87" si="36">IF(C86&lt;&gt;0,C86,C85)</f>
        <v>0</v>
      </c>
      <c r="D87" s="83">
        <f t="shared" si="36"/>
        <v>0</v>
      </c>
      <c r="E87" s="83">
        <f t="shared" si="36"/>
        <v>0</v>
      </c>
      <c r="F87" s="83">
        <f t="shared" si="36"/>
        <v>0</v>
      </c>
      <c r="G87" s="83">
        <f t="shared" si="36"/>
        <v>0</v>
      </c>
      <c r="H87" s="83">
        <f t="shared" si="36"/>
        <v>0</v>
      </c>
      <c r="J87" s="41"/>
    </row>
    <row r="88" spans="1:14" x14ac:dyDescent="0.25">
      <c r="A88" s="295" t="s">
        <v>212</v>
      </c>
      <c r="B88" s="296"/>
      <c r="C88" s="14">
        <f>IF(SUM(Données!C36:G36)=0,0,Données!I36)</f>
        <v>0</v>
      </c>
      <c r="D88" s="14">
        <f>C88</f>
        <v>0</v>
      </c>
      <c r="E88" s="14">
        <f>D88</f>
        <v>0</v>
      </c>
      <c r="F88" s="14">
        <f>E88</f>
        <v>0</v>
      </c>
      <c r="G88" s="14">
        <f>F88</f>
        <v>0</v>
      </c>
      <c r="H88" s="14">
        <f>G88</f>
        <v>0</v>
      </c>
      <c r="J88" s="41"/>
    </row>
    <row r="89" spans="1:14" x14ac:dyDescent="0.25">
      <c r="A89" s="295" t="s">
        <v>193</v>
      </c>
      <c r="B89" s="296"/>
      <c r="C89" s="93"/>
      <c r="D89" s="93"/>
      <c r="E89" s="93"/>
      <c r="F89" s="93"/>
      <c r="G89" s="93"/>
      <c r="H89" s="93"/>
      <c r="J89" s="41"/>
    </row>
    <row r="90" spans="1:14" x14ac:dyDescent="0.25">
      <c r="A90" s="310" t="s">
        <v>202</v>
      </c>
      <c r="B90" s="311"/>
      <c r="C90" s="83">
        <f t="shared" ref="C90:H90" si="37">C88+C89</f>
        <v>0</v>
      </c>
      <c r="D90" s="83">
        <f t="shared" si="37"/>
        <v>0</v>
      </c>
      <c r="E90" s="83">
        <f t="shared" si="37"/>
        <v>0</v>
      </c>
      <c r="F90" s="83">
        <f t="shared" si="37"/>
        <v>0</v>
      </c>
      <c r="G90" s="83">
        <f t="shared" si="37"/>
        <v>0</v>
      </c>
      <c r="H90" s="83">
        <f t="shared" si="37"/>
        <v>0</v>
      </c>
      <c r="J90" s="41"/>
    </row>
    <row r="91" spans="1:14" x14ac:dyDescent="0.25">
      <c r="A91" s="310" t="s">
        <v>293</v>
      </c>
      <c r="B91" s="311"/>
      <c r="C91" s="83">
        <f t="shared" ref="C91:H91" si="38">IF($J$8="OUI",IF(C9&gt;0,C9,0),0)+IF($J$15="OUI",IF(C16&gt;0,C16,0),0)+IF($J$22="OUI",IF(C23&gt;0,C23,0),0)</f>
        <v>0</v>
      </c>
      <c r="D91" s="83">
        <f t="shared" si="38"/>
        <v>0</v>
      </c>
      <c r="E91" s="83">
        <f t="shared" si="38"/>
        <v>0</v>
      </c>
      <c r="F91" s="83">
        <f t="shared" si="38"/>
        <v>0</v>
      </c>
      <c r="G91" s="83">
        <f t="shared" si="38"/>
        <v>0</v>
      </c>
      <c r="H91" s="83">
        <f t="shared" si="38"/>
        <v>0</v>
      </c>
      <c r="J91" s="41"/>
    </row>
    <row r="92" spans="1:14" x14ac:dyDescent="0.25">
      <c r="A92" s="314" t="s">
        <v>295</v>
      </c>
      <c r="B92" s="315"/>
      <c r="C92" s="103">
        <f t="shared" ref="C92:H92" si="39">C69+C72+C75+C78+C81+C84+C87+C90+C91</f>
        <v>0</v>
      </c>
      <c r="D92" s="103">
        <f>D69+D72+D75+D78+D81+D84+D87+D90+D91</f>
        <v>0</v>
      </c>
      <c r="E92" s="103">
        <f t="shared" si="39"/>
        <v>0</v>
      </c>
      <c r="F92" s="103">
        <f t="shared" si="39"/>
        <v>0</v>
      </c>
      <c r="G92" s="103">
        <f t="shared" si="39"/>
        <v>0</v>
      </c>
      <c r="H92" s="103">
        <f t="shared" si="39"/>
        <v>0</v>
      </c>
      <c r="J92" s="41"/>
    </row>
    <row r="93" spans="1:14" ht="5.0999999999999996" customHeight="1" thickBot="1" x14ac:dyDescent="0.3">
      <c r="A93" s="316"/>
      <c r="B93" s="317"/>
      <c r="C93" s="80"/>
      <c r="D93" s="80"/>
      <c r="E93" s="80"/>
      <c r="F93" s="80"/>
      <c r="G93" s="80"/>
      <c r="H93" s="80"/>
      <c r="I93" s="35"/>
      <c r="J93" s="36"/>
    </row>
    <row r="94" spans="1:14" ht="4.3499999999999996" customHeight="1" x14ac:dyDescent="0.25">
      <c r="A94" s="114"/>
      <c r="B94" s="114"/>
      <c r="C94" s="2"/>
      <c r="D94" s="2"/>
      <c r="E94" s="2"/>
      <c r="F94" s="2"/>
      <c r="G94" s="2"/>
      <c r="H94" s="2"/>
    </row>
    <row r="95" spans="1:14" ht="4.3499999999999996" customHeight="1" thickBot="1" x14ac:dyDescent="0.3">
      <c r="A95" s="114"/>
      <c r="B95" s="114"/>
      <c r="C95" s="2"/>
      <c r="D95" s="2"/>
      <c r="E95" s="2"/>
      <c r="F95" s="2"/>
      <c r="G95" s="2"/>
      <c r="H95" s="2"/>
    </row>
    <row r="96" spans="1:14" x14ac:dyDescent="0.25">
      <c r="A96" s="305" t="s">
        <v>61</v>
      </c>
      <c r="B96" s="306"/>
      <c r="C96" s="86"/>
      <c r="D96" s="86"/>
      <c r="E96" s="86"/>
      <c r="F96" s="86"/>
      <c r="G96" s="86"/>
      <c r="H96" s="87"/>
    </row>
    <row r="97" spans="1:8" ht="11.45" customHeight="1" x14ac:dyDescent="0.25">
      <c r="A97" s="320"/>
      <c r="B97" s="321"/>
      <c r="C97" s="2"/>
      <c r="D97" s="2"/>
      <c r="E97" s="2"/>
      <c r="F97" s="2"/>
      <c r="G97" s="2"/>
      <c r="H97" s="24"/>
    </row>
    <row r="98" spans="1:8" x14ac:dyDescent="0.25">
      <c r="A98" s="303" t="s">
        <v>28</v>
      </c>
      <c r="B98" s="304"/>
      <c r="C98" s="82">
        <f t="shared" ref="C98:H98" si="40">C63</f>
        <v>1</v>
      </c>
      <c r="D98" s="82">
        <f t="shared" si="40"/>
        <v>2</v>
      </c>
      <c r="E98" s="82">
        <f t="shared" si="40"/>
        <v>3</v>
      </c>
      <c r="F98" s="82">
        <f t="shared" si="40"/>
        <v>4</v>
      </c>
      <c r="G98" s="82">
        <f t="shared" si="40"/>
        <v>5</v>
      </c>
      <c r="H98" s="88">
        <f t="shared" si="40"/>
        <v>6</v>
      </c>
    </row>
    <row r="99" spans="1:8" x14ac:dyDescent="0.25">
      <c r="A99" s="295" t="s">
        <v>282</v>
      </c>
      <c r="B99" s="296"/>
      <c r="C99" s="14">
        <f t="shared" ref="C99:H99" si="41">C58</f>
        <v>0</v>
      </c>
      <c r="D99" s="14">
        <f t="shared" si="41"/>
        <v>0</v>
      </c>
      <c r="E99" s="14">
        <f t="shared" si="41"/>
        <v>0</v>
      </c>
      <c r="F99" s="14">
        <f t="shared" si="41"/>
        <v>0</v>
      </c>
      <c r="G99" s="14">
        <f t="shared" si="41"/>
        <v>0</v>
      </c>
      <c r="H99" s="26">
        <f t="shared" si="41"/>
        <v>0</v>
      </c>
    </row>
    <row r="100" spans="1:8" x14ac:dyDescent="0.25">
      <c r="A100" s="295" t="s">
        <v>283</v>
      </c>
      <c r="B100" s="296"/>
      <c r="C100" s="14">
        <f t="shared" ref="C100:H100" si="42">C92</f>
        <v>0</v>
      </c>
      <c r="D100" s="14">
        <f t="shared" si="42"/>
        <v>0</v>
      </c>
      <c r="E100" s="14">
        <f t="shared" si="42"/>
        <v>0</v>
      </c>
      <c r="F100" s="14">
        <f t="shared" si="42"/>
        <v>0</v>
      </c>
      <c r="G100" s="14">
        <f t="shared" si="42"/>
        <v>0</v>
      </c>
      <c r="H100" s="26">
        <f t="shared" si="42"/>
        <v>0</v>
      </c>
    </row>
    <row r="101" spans="1:8" x14ac:dyDescent="0.25">
      <c r="A101" s="310" t="s">
        <v>151</v>
      </c>
      <c r="B101" s="311"/>
      <c r="C101" s="83">
        <f t="shared" ref="C101:H101" si="43">C100-C99</f>
        <v>0</v>
      </c>
      <c r="D101" s="83">
        <f t="shared" si="43"/>
        <v>0</v>
      </c>
      <c r="E101" s="83">
        <f t="shared" si="43"/>
        <v>0</v>
      </c>
      <c r="F101" s="83">
        <f t="shared" si="43"/>
        <v>0</v>
      </c>
      <c r="G101" s="83">
        <f t="shared" si="43"/>
        <v>0</v>
      </c>
      <c r="H101" s="130">
        <f t="shared" si="43"/>
        <v>0</v>
      </c>
    </row>
    <row r="102" spans="1:8" x14ac:dyDescent="0.25">
      <c r="A102" s="295" t="s">
        <v>162</v>
      </c>
      <c r="B102" s="296"/>
      <c r="C102" s="14">
        <f t="shared" ref="C102:H102" si="44">C47</f>
        <v>0</v>
      </c>
      <c r="D102" s="14">
        <f t="shared" si="44"/>
        <v>0</v>
      </c>
      <c r="E102" s="14">
        <f t="shared" si="44"/>
        <v>0</v>
      </c>
      <c r="F102" s="14">
        <f t="shared" si="44"/>
        <v>0</v>
      </c>
      <c r="G102" s="14">
        <f t="shared" si="44"/>
        <v>0</v>
      </c>
      <c r="H102" s="26">
        <f t="shared" si="44"/>
        <v>0</v>
      </c>
    </row>
    <row r="103" spans="1:8" x14ac:dyDescent="0.25">
      <c r="A103" s="295" t="s">
        <v>165</v>
      </c>
      <c r="B103" s="296"/>
      <c r="C103" s="14">
        <f t="shared" ref="C103:H103" si="45">C56-C90</f>
        <v>0</v>
      </c>
      <c r="D103" s="14">
        <f t="shared" si="45"/>
        <v>0</v>
      </c>
      <c r="E103" s="14">
        <f t="shared" si="45"/>
        <v>0</v>
      </c>
      <c r="F103" s="14">
        <f t="shared" si="45"/>
        <v>0</v>
      </c>
      <c r="G103" s="14">
        <f t="shared" si="45"/>
        <v>0</v>
      </c>
      <c r="H103" s="26">
        <f t="shared" si="45"/>
        <v>0</v>
      </c>
    </row>
    <row r="104" spans="1:8" x14ac:dyDescent="0.25">
      <c r="A104" s="310" t="s">
        <v>167</v>
      </c>
      <c r="B104" s="311"/>
      <c r="C104" s="83">
        <f t="shared" ref="C104:H104" si="46">C101+C102+C103</f>
        <v>0</v>
      </c>
      <c r="D104" s="83">
        <f t="shared" si="46"/>
        <v>0</v>
      </c>
      <c r="E104" s="83">
        <f t="shared" si="46"/>
        <v>0</v>
      </c>
      <c r="F104" s="83">
        <f t="shared" si="46"/>
        <v>0</v>
      </c>
      <c r="G104" s="83">
        <f t="shared" si="46"/>
        <v>0</v>
      </c>
      <c r="H104" s="130">
        <f t="shared" si="46"/>
        <v>0</v>
      </c>
    </row>
    <row r="105" spans="1:8" x14ac:dyDescent="0.25">
      <c r="A105" s="295" t="s">
        <v>92</v>
      </c>
      <c r="B105" s="296"/>
      <c r="C105" s="14">
        <f t="shared" ref="C105:H105" si="47">IF($J$8="OUI",C6,0)+IF($J$15="OUI",C13,0)+IF($J$22="OUI",C20,0)</f>
        <v>0</v>
      </c>
      <c r="D105" s="14">
        <f t="shared" si="47"/>
        <v>0</v>
      </c>
      <c r="E105" s="14">
        <f t="shared" si="47"/>
        <v>0</v>
      </c>
      <c r="F105" s="14">
        <f t="shared" si="47"/>
        <v>0</v>
      </c>
      <c r="G105" s="14">
        <f t="shared" si="47"/>
        <v>0</v>
      </c>
      <c r="H105" s="26">
        <f t="shared" si="47"/>
        <v>0</v>
      </c>
    </row>
    <row r="106" spans="1:8" x14ac:dyDescent="0.25">
      <c r="A106" s="310" t="s">
        <v>116</v>
      </c>
      <c r="B106" s="311"/>
      <c r="C106" s="83">
        <f t="shared" ref="C106:H106" si="48">C104-C105</f>
        <v>0</v>
      </c>
      <c r="D106" s="83">
        <f t="shared" si="48"/>
        <v>0</v>
      </c>
      <c r="E106" s="83">
        <f t="shared" si="48"/>
        <v>0</v>
      </c>
      <c r="F106" s="83">
        <f t="shared" si="48"/>
        <v>0</v>
      </c>
      <c r="G106" s="83">
        <f t="shared" si="48"/>
        <v>0</v>
      </c>
      <c r="H106" s="130">
        <f t="shared" si="48"/>
        <v>0</v>
      </c>
    </row>
    <row r="107" spans="1:8" ht="4.5" customHeight="1" x14ac:dyDescent="0.25">
      <c r="A107" s="295"/>
      <c r="B107" s="332"/>
      <c r="C107" s="2"/>
      <c r="D107" s="2"/>
      <c r="E107" s="2"/>
      <c r="F107" s="2"/>
      <c r="G107" s="2"/>
      <c r="H107" s="24"/>
    </row>
    <row r="108" spans="1:8" x14ac:dyDescent="0.25">
      <c r="A108" s="310" t="s">
        <v>168</v>
      </c>
      <c r="B108" s="311"/>
      <c r="C108" s="83">
        <f>Données!G74+IF(AND($J$8="OUI",$J$10="OUI"),EP!C6,0)+IF(AND($J$15="OUI",$J$17="OUI"),EP!C13,0)+IF(AND($J$22="OUI",$J$24="OUI"),EP!C20,0)-(FLOOR(C104,10000))</f>
        <v>0</v>
      </c>
      <c r="D108" s="83">
        <f>C108+IF(AND($J$8="OUI",$J$10="OUI"),EP!D6,0)+IF(AND($J$15="OUI",$J$17="OUI"),EP!D13,0)+IF(AND($J$22="OUI",$J$24="OUI"),EP!D20,0)-(FLOOR(D104,10000))</f>
        <v>0</v>
      </c>
      <c r="E108" s="83">
        <f>D108+IF(AND($J$8="OUI",$J$10="OUI"),EP!E6,0)+IF(AND($J$15="OUI",$J$17="OUI"),EP!E13,0)+IF(AND($J$22="OUI",$J$24="OUI"),EP!E20,0)-(FLOOR(E104,10000))</f>
        <v>0</v>
      </c>
      <c r="F108" s="83">
        <f>E108+IF(AND($J$8="OUI",$J$10="OUI"),EP!F6,0)+IF(AND($J$15="OUI",$J$17="OUI"),EP!F13,0)+IF(AND($J$22="OUI",$J$24="OUI"),EP!F20,0)-(FLOOR(F104,10000))</f>
        <v>0</v>
      </c>
      <c r="G108" s="83">
        <f>F108+IF(AND($J$8="OUI",$J$10="OUI"),EP!G6,0)+IF(AND($J$15="OUI",$J$17="OUI"),EP!G13,0)+IF(AND($J$22="OUI",$J$24="OUI"),EP!G20,0)-(FLOOR(G104,10000))</f>
        <v>0</v>
      </c>
      <c r="H108" s="130">
        <f>G108+IF(AND($J$8="OUI",$J$10="OUI"),EP!H6,0)+IF(AND($J$15="OUI",$J$17="OUI"),EP!H13,0)+IF(AND($J$22="OUI",$J$24="OUI"),EP!H20,0)-(FLOOR(H104,10000))</f>
        <v>0</v>
      </c>
    </row>
    <row r="109" spans="1:8" ht="4.5" customHeight="1" x14ac:dyDescent="0.25">
      <c r="A109" s="295"/>
      <c r="B109" s="332"/>
      <c r="C109" s="2"/>
      <c r="D109" s="2"/>
      <c r="E109" s="2"/>
      <c r="F109" s="2"/>
      <c r="G109" s="2"/>
      <c r="H109" s="24"/>
    </row>
    <row r="110" spans="1:8" x14ac:dyDescent="0.25">
      <c r="A110" s="310" t="s">
        <v>239</v>
      </c>
      <c r="B110" s="311"/>
      <c r="C110" s="83">
        <f>Données!G92+IF(AND($J$8="OUI",$J$10="OUI"),EP!C6,0)+IF(AND($J$15="OUI",$J$17="OUI"),EP!C13,0)+IF(AND($J$22="OUI",$J$24="OUI"),EP!C20,0)-(FLOOR(C104,10000))</f>
        <v>0</v>
      </c>
      <c r="D110" s="83">
        <f>C110+IF(AND($J$8="OUI",$J$10="OUI"),EP!D6,0)+IF(AND($J$15="OUI",$J$17="OUI"),EP!D13,0)+IF(AND($J$22="OUI",$J$24="OUI"),EP!D20,0)-(FLOOR(D104,10000))</f>
        <v>0</v>
      </c>
      <c r="E110" s="83">
        <f>D110+IF(AND($J$8="OUI",$J$10="OUI"),EP!E6,0)+IF(AND($J$15="OUI",$J$17="OUI"),EP!E13,0)+IF(AND($J$22="OUI",$J$24="OUI"),EP!E20,0)-(FLOOR(E104,10000))</f>
        <v>0</v>
      </c>
      <c r="F110" s="83">
        <f>E110+IF(AND($J$8="OUI",$J$10="OUI"),EP!F6,0)+IF(AND($J$15="OUI",$J$17="OUI"),EP!F13,0)+IF(AND($J$22="OUI",$J$24="OUI"),EP!F20,0)-(FLOOR(F104,10000))</f>
        <v>0</v>
      </c>
      <c r="G110" s="83">
        <f>F110+IF(AND($J$8="OUI",$J$10="OUI"),EP!G6,0)+IF(AND($J$15="OUI",$J$17="OUI"),EP!G13,0)+IF(AND($J$22="OUI",$J$24="OUI"),EP!G20,0)-(FLOOR(G104,10000))</f>
        <v>0</v>
      </c>
      <c r="H110" s="130">
        <f>G110+IF(AND($J$8="OUI",$J$10="OUI"),EP!H6,0)+IF(AND($J$15="OUI",$J$17="OUI"),EP!H13,0)+IF(AND($J$22="OUI",$J$24="OUI"),EP!H20,0)-(FLOOR(H104,10000))</f>
        <v>0</v>
      </c>
    </row>
    <row r="111" spans="1:8" ht="6.6" customHeight="1" thickBot="1" x14ac:dyDescent="0.3">
      <c r="A111" s="330"/>
      <c r="B111" s="331"/>
      <c r="C111" s="80"/>
      <c r="D111" s="80"/>
      <c r="E111" s="80"/>
      <c r="F111" s="80"/>
      <c r="G111" s="80"/>
      <c r="H111" s="131"/>
    </row>
    <row r="112" spans="1:8" x14ac:dyDescent="0.25">
      <c r="A112" s="3"/>
      <c r="B112" s="3"/>
      <c r="C112" s="2"/>
      <c r="D112" s="2"/>
      <c r="E112" s="2"/>
      <c r="F112" s="2"/>
      <c r="G112" s="2"/>
      <c r="H112" s="2"/>
    </row>
    <row r="113" spans="1:10" ht="13.5" customHeight="1" x14ac:dyDescent="0.25">
      <c r="A113" s="329" t="s">
        <v>214</v>
      </c>
      <c r="B113" s="329"/>
      <c r="C113" s="329"/>
      <c r="D113" s="329"/>
      <c r="E113" s="329"/>
      <c r="F113" s="329"/>
      <c r="G113" s="329"/>
      <c r="H113" s="329"/>
    </row>
    <row r="114" spans="1:10" ht="13.5" customHeight="1" x14ac:dyDescent="0.25">
      <c r="A114" s="329" t="s">
        <v>285</v>
      </c>
      <c r="B114" s="329"/>
      <c r="C114" s="329"/>
      <c r="D114" s="329"/>
      <c r="E114" s="329"/>
      <c r="F114" s="329"/>
      <c r="G114" s="329"/>
      <c r="H114" s="329"/>
    </row>
    <row r="115" spans="1:10" ht="13.5" customHeight="1" x14ac:dyDescent="0.25">
      <c r="A115" s="329"/>
      <c r="B115" s="329"/>
      <c r="C115" s="329"/>
      <c r="D115" s="329"/>
      <c r="E115" s="329"/>
      <c r="F115" s="329"/>
      <c r="G115" s="329"/>
      <c r="H115" s="329"/>
    </row>
    <row r="116" spans="1:10" ht="13.5" customHeight="1" x14ac:dyDescent="0.25">
      <c r="A116" s="329" t="s">
        <v>187</v>
      </c>
      <c r="B116" s="329"/>
      <c r="C116" s="329"/>
      <c r="D116" s="329"/>
      <c r="E116" s="329"/>
      <c r="F116" s="329"/>
      <c r="G116" s="329"/>
      <c r="H116" s="329"/>
    </row>
    <row r="117" spans="1:10" ht="13.5" customHeight="1" x14ac:dyDescent="0.25">
      <c r="A117" s="329" t="s">
        <v>286</v>
      </c>
      <c r="B117" s="329"/>
      <c r="C117" s="329"/>
      <c r="D117" s="329"/>
      <c r="E117" s="329"/>
      <c r="F117" s="329"/>
      <c r="G117" s="329"/>
      <c r="H117" s="329"/>
      <c r="J117" s="99"/>
    </row>
    <row r="118" spans="1:10" x14ac:dyDescent="0.25">
      <c r="A118" s="329"/>
      <c r="B118" s="329"/>
      <c r="C118" s="329"/>
      <c r="D118" s="329"/>
      <c r="E118" s="329"/>
      <c r="F118" s="329"/>
      <c r="G118" s="329"/>
      <c r="H118" s="329"/>
      <c r="J118" s="99"/>
    </row>
    <row r="119" spans="1:10" ht="4.3499999999999996" customHeight="1" thickBot="1" x14ac:dyDescent="0.3">
      <c r="A119" s="114"/>
      <c r="B119" s="114"/>
      <c r="C119" s="114"/>
      <c r="D119" s="114"/>
      <c r="E119" s="114"/>
      <c r="F119" s="114"/>
      <c r="G119" s="114"/>
      <c r="H119" s="114"/>
      <c r="J119" s="99"/>
    </row>
    <row r="120" spans="1:10" x14ac:dyDescent="0.25">
      <c r="A120" s="305" t="s">
        <v>88</v>
      </c>
      <c r="B120" s="306"/>
      <c r="C120" s="86"/>
      <c r="D120" s="86"/>
      <c r="E120" s="86"/>
      <c r="F120" s="86"/>
      <c r="G120" s="86"/>
      <c r="H120" s="87"/>
    </row>
    <row r="121" spans="1:10" x14ac:dyDescent="0.25">
      <c r="A121" s="328"/>
      <c r="B121" s="329"/>
      <c r="C121" s="2"/>
      <c r="D121" s="2"/>
      <c r="E121" s="2"/>
      <c r="F121" s="2"/>
      <c r="G121" s="2"/>
      <c r="H121" s="24"/>
      <c r="J121" s="99"/>
    </row>
    <row r="122" spans="1:10" x14ac:dyDescent="0.25">
      <c r="A122" s="152" t="s">
        <v>62</v>
      </c>
      <c r="B122" s="153"/>
      <c r="C122" s="135"/>
      <c r="D122" s="135"/>
      <c r="E122" s="135"/>
      <c r="F122" s="135"/>
      <c r="G122" s="135"/>
      <c r="H122" s="136"/>
    </row>
    <row r="123" spans="1:10" x14ac:dyDescent="0.25">
      <c r="A123" s="303" t="s">
        <v>28</v>
      </c>
      <c r="B123" s="304"/>
      <c r="C123" s="82">
        <f t="shared" ref="C123:H123" si="49">C98</f>
        <v>1</v>
      </c>
      <c r="D123" s="82">
        <f t="shared" si="49"/>
        <v>2</v>
      </c>
      <c r="E123" s="82">
        <f t="shared" si="49"/>
        <v>3</v>
      </c>
      <c r="F123" s="82">
        <f t="shared" si="49"/>
        <v>4</v>
      </c>
      <c r="G123" s="82">
        <f t="shared" si="49"/>
        <v>5</v>
      </c>
      <c r="H123" s="88">
        <f t="shared" si="49"/>
        <v>6</v>
      </c>
    </row>
    <row r="124" spans="1:10" x14ac:dyDescent="0.25">
      <c r="A124" s="295" t="s">
        <v>100</v>
      </c>
      <c r="B124" s="296"/>
      <c r="C124" s="14">
        <f t="shared" ref="C124:H124" si="50">C108</f>
        <v>0</v>
      </c>
      <c r="D124" s="14">
        <f t="shared" si="50"/>
        <v>0</v>
      </c>
      <c r="E124" s="14">
        <f t="shared" si="50"/>
        <v>0</v>
      </c>
      <c r="F124" s="14">
        <f t="shared" si="50"/>
        <v>0</v>
      </c>
      <c r="G124" s="14">
        <f t="shared" si="50"/>
        <v>0</v>
      </c>
      <c r="H124" s="26">
        <f t="shared" si="50"/>
        <v>0</v>
      </c>
    </row>
    <row r="125" spans="1:10" x14ac:dyDescent="0.25">
      <c r="A125" s="295" t="s">
        <v>98</v>
      </c>
      <c r="B125" s="296"/>
      <c r="C125" s="14">
        <f t="shared" ref="C125:H125" si="51">C92-C90</f>
        <v>0</v>
      </c>
      <c r="D125" s="14">
        <f t="shared" si="51"/>
        <v>0</v>
      </c>
      <c r="E125" s="14">
        <f t="shared" si="51"/>
        <v>0</v>
      </c>
      <c r="F125" s="14">
        <f t="shared" si="51"/>
        <v>0</v>
      </c>
      <c r="G125" s="14">
        <f t="shared" si="51"/>
        <v>0</v>
      </c>
      <c r="H125" s="26">
        <f t="shared" si="51"/>
        <v>0</v>
      </c>
    </row>
    <row r="126" spans="1:10" x14ac:dyDescent="0.25">
      <c r="A126" s="322" t="s">
        <v>65</v>
      </c>
      <c r="B126" s="323"/>
      <c r="C126" s="17">
        <f>IF(C124&lt;=0,0,C124/C125)</f>
        <v>0</v>
      </c>
      <c r="D126" s="17">
        <f>IF(D124&lt;=0,0,D124/D125)</f>
        <v>0</v>
      </c>
      <c r="E126" s="17">
        <f>IF(E124&lt;=0,0,E124/E125)</f>
        <v>0</v>
      </c>
      <c r="F126" s="17">
        <f>IF(F124&lt;=0,0,F124/F125)</f>
        <v>0</v>
      </c>
      <c r="G126" s="17">
        <f t="shared" ref="G126:H126" si="52">IF(G124&lt;=0,0,G124/G125)</f>
        <v>0</v>
      </c>
      <c r="H126" s="27">
        <f t="shared" si="52"/>
        <v>0</v>
      </c>
    </row>
    <row r="127" spans="1:10" x14ac:dyDescent="0.25">
      <c r="A127" s="318"/>
      <c r="B127" s="324"/>
      <c r="C127" s="2"/>
      <c r="D127" s="2"/>
      <c r="E127" s="2"/>
      <c r="F127" s="2"/>
      <c r="G127" s="2"/>
      <c r="H127" s="24"/>
    </row>
    <row r="128" spans="1:10" x14ac:dyDescent="0.25">
      <c r="A128" s="152" t="s">
        <v>174</v>
      </c>
      <c r="B128" s="153"/>
      <c r="C128" s="135"/>
      <c r="D128" s="135"/>
      <c r="E128" s="135"/>
      <c r="F128" s="135"/>
      <c r="G128" s="135"/>
      <c r="H128" s="136"/>
    </row>
    <row r="129" spans="1:8" x14ac:dyDescent="0.25">
      <c r="A129" s="303" t="s">
        <v>28</v>
      </c>
      <c r="B129" s="304"/>
      <c r="C129" s="82">
        <f>C123</f>
        <v>1</v>
      </c>
      <c r="D129" s="82">
        <f t="shared" ref="D129:H130" si="53">D123</f>
        <v>2</v>
      </c>
      <c r="E129" s="82">
        <f t="shared" si="53"/>
        <v>3</v>
      </c>
      <c r="F129" s="82">
        <f t="shared" si="53"/>
        <v>4</v>
      </c>
      <c r="G129" s="82">
        <f t="shared" si="53"/>
        <v>5</v>
      </c>
      <c r="H129" s="88">
        <f t="shared" si="53"/>
        <v>6</v>
      </c>
    </row>
    <row r="130" spans="1:8" x14ac:dyDescent="0.25">
      <c r="A130" s="295" t="s">
        <v>100</v>
      </c>
      <c r="B130" s="296"/>
      <c r="C130" s="14">
        <f>C124</f>
        <v>0</v>
      </c>
      <c r="D130" s="14">
        <f t="shared" si="53"/>
        <v>0</v>
      </c>
      <c r="E130" s="14">
        <f t="shared" si="53"/>
        <v>0</v>
      </c>
      <c r="F130" s="14">
        <f t="shared" si="53"/>
        <v>0</v>
      </c>
      <c r="G130" s="14">
        <f t="shared" si="53"/>
        <v>0</v>
      </c>
      <c r="H130" s="26">
        <f t="shared" si="53"/>
        <v>0</v>
      </c>
    </row>
    <row r="131" spans="1:8" x14ac:dyDescent="0.25">
      <c r="A131" s="295" t="s">
        <v>91</v>
      </c>
      <c r="B131" s="296"/>
      <c r="C131" s="14">
        <f t="shared" ref="C131:H131" si="54">C104</f>
        <v>0</v>
      </c>
      <c r="D131" s="14">
        <f t="shared" si="54"/>
        <v>0</v>
      </c>
      <c r="E131" s="14">
        <f t="shared" si="54"/>
        <v>0</v>
      </c>
      <c r="F131" s="14">
        <f t="shared" si="54"/>
        <v>0</v>
      </c>
      <c r="G131" s="14">
        <f t="shared" si="54"/>
        <v>0</v>
      </c>
      <c r="H131" s="26">
        <f t="shared" si="54"/>
        <v>0</v>
      </c>
    </row>
    <row r="132" spans="1:8" x14ac:dyDescent="0.25">
      <c r="A132" s="322" t="s">
        <v>65</v>
      </c>
      <c r="B132" s="323"/>
      <c r="C132" s="61">
        <f>IF(C130&lt;=0,0,IF(C131&lt;=0,"Impossible",C130/C131))</f>
        <v>0</v>
      </c>
      <c r="D132" s="61">
        <f>IF(D130&lt;=0,0,IF(D131&lt;=0,"Impossible",D130/D131))</f>
        <v>0</v>
      </c>
      <c r="E132" s="61">
        <f>IF(E130&lt;=0,0,IF(E131&lt;=0,"Impossible",E130/E131))</f>
        <v>0</v>
      </c>
      <c r="F132" s="61">
        <f>IF(F130&lt;=0,0,IF(F131&lt;=0,"Impossible",F130/F131))</f>
        <v>0</v>
      </c>
      <c r="G132" s="61">
        <f t="shared" ref="G132:H132" si="55">IF(G130&lt;=0,0,IF(G131&lt;=0,"Impossible",G130/G131))</f>
        <v>0</v>
      </c>
      <c r="H132" s="62">
        <f t="shared" si="55"/>
        <v>0</v>
      </c>
    </row>
    <row r="133" spans="1:8" x14ac:dyDescent="0.25">
      <c r="A133" s="318"/>
      <c r="B133" s="324"/>
      <c r="H133" s="41"/>
    </row>
    <row r="134" spans="1:8" x14ac:dyDescent="0.25">
      <c r="A134" s="152" t="s">
        <v>86</v>
      </c>
      <c r="B134" s="153"/>
      <c r="C134" s="114"/>
      <c r="D134" s="114"/>
      <c r="E134" s="114"/>
      <c r="F134" s="114"/>
      <c r="G134" s="114"/>
      <c r="H134" s="134"/>
    </row>
    <row r="135" spans="1:8" x14ac:dyDescent="0.25">
      <c r="A135" s="303" t="s">
        <v>28</v>
      </c>
      <c r="B135" s="304"/>
      <c r="C135" s="82">
        <f>C129</f>
        <v>1</v>
      </c>
      <c r="D135" s="82">
        <f>D129</f>
        <v>2</v>
      </c>
      <c r="E135" s="82">
        <f>E129</f>
        <v>3</v>
      </c>
      <c r="F135" s="82">
        <f>F129</f>
        <v>4</v>
      </c>
      <c r="G135" s="82">
        <f t="shared" ref="G135:H135" si="56">G129</f>
        <v>5</v>
      </c>
      <c r="H135" s="88">
        <f t="shared" si="56"/>
        <v>6</v>
      </c>
    </row>
    <row r="136" spans="1:8" x14ac:dyDescent="0.25">
      <c r="A136" s="295" t="s">
        <v>91</v>
      </c>
      <c r="B136" s="296"/>
      <c r="C136" s="14">
        <f>C131</f>
        <v>0</v>
      </c>
      <c r="D136" s="14">
        <f>D131</f>
        <v>0</v>
      </c>
      <c r="E136" s="14">
        <f>E131</f>
        <v>0</v>
      </c>
      <c r="F136" s="14">
        <f>F131</f>
        <v>0</v>
      </c>
      <c r="G136" s="14">
        <f t="shared" ref="G136:H136" si="57">G131</f>
        <v>0</v>
      </c>
      <c r="H136" s="26">
        <f t="shared" si="57"/>
        <v>0</v>
      </c>
    </row>
    <row r="137" spans="1:8" x14ac:dyDescent="0.25">
      <c r="A137" s="295" t="s">
        <v>96</v>
      </c>
      <c r="B137" s="296"/>
      <c r="C137" s="14">
        <v>30</v>
      </c>
      <c r="D137" s="14">
        <v>30</v>
      </c>
      <c r="E137" s="14">
        <v>30</v>
      </c>
      <c r="F137" s="14">
        <v>30</v>
      </c>
      <c r="G137" s="14">
        <v>30</v>
      </c>
      <c r="H137" s="26">
        <v>30</v>
      </c>
    </row>
    <row r="138" spans="1:8" x14ac:dyDescent="0.25">
      <c r="A138" s="322" t="s">
        <v>75</v>
      </c>
      <c r="B138" s="323"/>
      <c r="C138" s="89">
        <f>IF(C136&lt;=0,0,C136*C137)</f>
        <v>0</v>
      </c>
      <c r="D138" s="89">
        <f>IF(D136&lt;=0,0,D136*D137)</f>
        <v>0</v>
      </c>
      <c r="E138" s="89">
        <f>IF(E136&lt;=0,0,E136*E137)</f>
        <v>0</v>
      </c>
      <c r="F138" s="89">
        <f>IF(F136&lt;=0,0,F136*F137)</f>
        <v>0</v>
      </c>
      <c r="G138" s="89">
        <f t="shared" ref="G138:H138" si="58">IF(G136&lt;=0,0,G136*G137)</f>
        <v>0</v>
      </c>
      <c r="H138" s="90">
        <f t="shared" si="58"/>
        <v>0</v>
      </c>
    </row>
    <row r="139" spans="1:8" x14ac:dyDescent="0.25">
      <c r="A139" s="318"/>
      <c r="B139" s="324"/>
      <c r="H139" s="41"/>
    </row>
    <row r="140" spans="1:8" x14ac:dyDescent="0.25">
      <c r="A140" s="152" t="s">
        <v>127</v>
      </c>
      <c r="B140" s="153"/>
      <c r="C140" s="114"/>
      <c r="D140" s="114"/>
      <c r="E140" s="114"/>
      <c r="F140" s="114"/>
      <c r="G140" s="114"/>
      <c r="H140" s="134"/>
    </row>
    <row r="141" spans="1:8" ht="13.5" customHeight="1" x14ac:dyDescent="0.25">
      <c r="A141" s="303" t="s">
        <v>28</v>
      </c>
      <c r="B141" s="304"/>
      <c r="C141" s="82">
        <f t="shared" ref="C141:F142" si="59">C129</f>
        <v>1</v>
      </c>
      <c r="D141" s="82">
        <f t="shared" si="59"/>
        <v>2</v>
      </c>
      <c r="E141" s="82">
        <f t="shared" si="59"/>
        <v>3</v>
      </c>
      <c r="F141" s="82">
        <f t="shared" si="59"/>
        <v>4</v>
      </c>
      <c r="G141" s="82">
        <f t="shared" ref="G141:H141" si="60">G129</f>
        <v>5</v>
      </c>
      <c r="H141" s="88">
        <f t="shared" si="60"/>
        <v>6</v>
      </c>
    </row>
    <row r="142" spans="1:8" x14ac:dyDescent="0.25">
      <c r="A142" s="295" t="s">
        <v>100</v>
      </c>
      <c r="B142" s="296"/>
      <c r="C142" s="14">
        <f t="shared" si="59"/>
        <v>0</v>
      </c>
      <c r="D142" s="14">
        <f t="shared" si="59"/>
        <v>0</v>
      </c>
      <c r="E142" s="14">
        <f t="shared" si="59"/>
        <v>0</v>
      </c>
      <c r="F142" s="14">
        <f t="shared" si="59"/>
        <v>0</v>
      </c>
      <c r="G142" s="14">
        <f t="shared" ref="G142:H142" si="61">G130</f>
        <v>0</v>
      </c>
      <c r="H142" s="26">
        <f t="shared" si="61"/>
        <v>0</v>
      </c>
    </row>
    <row r="143" spans="1:8" ht="13.5" customHeight="1" x14ac:dyDescent="0.25">
      <c r="A143" s="295" t="s">
        <v>96</v>
      </c>
      <c r="B143" s="296"/>
      <c r="C143" s="14">
        <v>30</v>
      </c>
      <c r="D143" s="14">
        <v>30</v>
      </c>
      <c r="E143" s="14">
        <v>30</v>
      </c>
      <c r="F143" s="14">
        <v>30</v>
      </c>
      <c r="G143" s="14">
        <v>30</v>
      </c>
      <c r="H143" s="26">
        <v>30</v>
      </c>
    </row>
    <row r="144" spans="1:8" x14ac:dyDescent="0.25">
      <c r="A144" s="322" t="s">
        <v>75</v>
      </c>
      <c r="B144" s="323"/>
      <c r="C144" s="89">
        <f>IF(C142&lt;=0,0,C142/C143)</f>
        <v>0</v>
      </c>
      <c r="D144" s="89">
        <f>IF(D142&lt;=0,0,D142/D143)</f>
        <v>0</v>
      </c>
      <c r="E144" s="89">
        <f>IF(E142&lt;=0,0,E142/E143)</f>
        <v>0</v>
      </c>
      <c r="F144" s="89">
        <f>IF(F142&lt;=0,0,F142/F143)</f>
        <v>0</v>
      </c>
      <c r="G144" s="89">
        <f t="shared" ref="G144:H144" si="62">IF(G142&lt;=0,0,G142/G143)</f>
        <v>0</v>
      </c>
      <c r="H144" s="90">
        <f t="shared" si="62"/>
        <v>0</v>
      </c>
    </row>
    <row r="145" spans="1:8" ht="14.25" thickBot="1" x14ac:dyDescent="0.3">
      <c r="A145" s="316"/>
      <c r="B145" s="317"/>
      <c r="C145" s="35"/>
      <c r="D145" s="35"/>
      <c r="E145" s="35"/>
      <c r="F145" s="35"/>
      <c r="G145" s="35"/>
      <c r="H145" s="36"/>
    </row>
    <row r="146" spans="1:8" ht="6" customHeight="1" thickBot="1" x14ac:dyDescent="0.3">
      <c r="A146" s="333"/>
      <c r="B146" s="333"/>
      <c r="C146" s="200"/>
      <c r="D146" s="200"/>
      <c r="E146" s="200"/>
      <c r="F146" s="200"/>
      <c r="G146" s="200"/>
      <c r="H146" s="200"/>
    </row>
    <row r="147" spans="1:8" x14ac:dyDescent="0.25">
      <c r="A147" s="305" t="s">
        <v>43</v>
      </c>
      <c r="B147" s="306"/>
      <c r="C147" s="79"/>
      <c r="D147" s="79"/>
      <c r="E147" s="79"/>
      <c r="F147" s="79"/>
      <c r="G147" s="79"/>
      <c r="H147" s="81"/>
    </row>
    <row r="148" spans="1:8" x14ac:dyDescent="0.25">
      <c r="A148" s="328"/>
      <c r="B148" s="329"/>
      <c r="H148" s="41"/>
    </row>
    <row r="149" spans="1:8" x14ac:dyDescent="0.25">
      <c r="A149" s="334" t="s">
        <v>89</v>
      </c>
      <c r="B149" s="335"/>
      <c r="C149" s="335"/>
      <c r="D149" s="335"/>
      <c r="E149" s="335"/>
      <c r="F149" s="335"/>
      <c r="G149" s="335"/>
      <c r="H149" s="336"/>
    </row>
    <row r="150" spans="1:8" x14ac:dyDescent="0.25">
      <c r="A150" s="303" t="s">
        <v>28</v>
      </c>
      <c r="B150" s="304"/>
      <c r="C150" s="82">
        <f>C141</f>
        <v>1</v>
      </c>
      <c r="D150" s="82">
        <f>D141</f>
        <v>2</v>
      </c>
      <c r="E150" s="82">
        <f>E141</f>
        <v>3</v>
      </c>
      <c r="F150" s="82">
        <f>F141</f>
        <v>4</v>
      </c>
      <c r="G150" s="82">
        <f t="shared" ref="G150:H150" si="63">G141</f>
        <v>5</v>
      </c>
      <c r="H150" s="88">
        <f t="shared" si="63"/>
        <v>6</v>
      </c>
    </row>
    <row r="151" spans="1:8" x14ac:dyDescent="0.25">
      <c r="A151" s="295" t="s">
        <v>91</v>
      </c>
      <c r="B151" s="296"/>
      <c r="C151" s="14">
        <f>C131</f>
        <v>0</v>
      </c>
      <c r="D151" s="14">
        <f>D131</f>
        <v>0</v>
      </c>
      <c r="E151" s="14">
        <f>E131</f>
        <v>0</v>
      </c>
      <c r="F151" s="14">
        <f>F131</f>
        <v>0</v>
      </c>
      <c r="G151" s="14">
        <f t="shared" ref="G151:H151" si="64">G131</f>
        <v>0</v>
      </c>
      <c r="H151" s="26">
        <f t="shared" si="64"/>
        <v>0</v>
      </c>
    </row>
    <row r="152" spans="1:8" x14ac:dyDescent="0.25">
      <c r="A152" s="295" t="s">
        <v>92</v>
      </c>
      <c r="B152" s="296"/>
      <c r="C152" s="14">
        <f t="shared" ref="C152:H152" si="65">C105</f>
        <v>0</v>
      </c>
      <c r="D152" s="14">
        <f t="shared" si="65"/>
        <v>0</v>
      </c>
      <c r="E152" s="14">
        <f t="shared" si="65"/>
        <v>0</v>
      </c>
      <c r="F152" s="14">
        <f t="shared" si="65"/>
        <v>0</v>
      </c>
      <c r="G152" s="14">
        <f t="shared" si="65"/>
        <v>0</v>
      </c>
      <c r="H152" s="26">
        <f t="shared" si="65"/>
        <v>0</v>
      </c>
    </row>
    <row r="153" spans="1:8" x14ac:dyDescent="0.25">
      <c r="A153" s="322" t="s">
        <v>72</v>
      </c>
      <c r="B153" s="323"/>
      <c r="C153" s="18">
        <f>IF(C151&lt;=0,0,IF(C152=0,0,C151/C152))</f>
        <v>0</v>
      </c>
      <c r="D153" s="18">
        <f>IF(D151&lt;=0,0,IF(D152=0,0,D151/D152))</f>
        <v>0</v>
      </c>
      <c r="E153" s="18">
        <f>IF(E151&lt;=0,0,IF(E152=0,0,E151/E152))</f>
        <v>0</v>
      </c>
      <c r="F153" s="18">
        <f>IF(F151&lt;=0,0,IF(F152=0,0,F151/F152))</f>
        <v>0</v>
      </c>
      <c r="G153" s="18">
        <f t="shared" ref="G153:H153" si="66">IF(G151&lt;=0,0,IF(G152=0,0,G151/G152))</f>
        <v>0</v>
      </c>
      <c r="H153" s="29">
        <f t="shared" si="66"/>
        <v>0</v>
      </c>
    </row>
    <row r="154" spans="1:8" x14ac:dyDescent="0.25">
      <c r="A154" s="318"/>
      <c r="B154" s="324"/>
      <c r="H154" s="41"/>
    </row>
    <row r="155" spans="1:8" x14ac:dyDescent="0.25">
      <c r="A155" s="334" t="s">
        <v>101</v>
      </c>
      <c r="B155" s="335"/>
      <c r="H155" s="41"/>
    </row>
    <row r="156" spans="1:8" x14ac:dyDescent="0.25">
      <c r="A156" s="303" t="s">
        <v>28</v>
      </c>
      <c r="B156" s="304"/>
      <c r="C156" s="82">
        <f t="shared" ref="C156:H157" si="67">C150</f>
        <v>1</v>
      </c>
      <c r="D156" s="82">
        <f t="shared" si="67"/>
        <v>2</v>
      </c>
      <c r="E156" s="82">
        <f t="shared" si="67"/>
        <v>3</v>
      </c>
      <c r="F156" s="82">
        <f t="shared" si="67"/>
        <v>4</v>
      </c>
      <c r="G156" s="82">
        <f t="shared" si="67"/>
        <v>5</v>
      </c>
      <c r="H156" s="88">
        <f t="shared" si="67"/>
        <v>6</v>
      </c>
    </row>
    <row r="157" spans="1:8" x14ac:dyDescent="0.25">
      <c r="A157" s="295" t="s">
        <v>91</v>
      </c>
      <c r="B157" s="296"/>
      <c r="C157" s="14">
        <f t="shared" si="67"/>
        <v>0</v>
      </c>
      <c r="D157" s="14">
        <f t="shared" si="67"/>
        <v>0</v>
      </c>
      <c r="E157" s="14">
        <f t="shared" si="67"/>
        <v>0</v>
      </c>
      <c r="F157" s="14">
        <f t="shared" si="67"/>
        <v>0</v>
      </c>
      <c r="G157" s="14">
        <f t="shared" ref="G157:H157" si="68">G151</f>
        <v>0</v>
      </c>
      <c r="H157" s="26">
        <f t="shared" si="68"/>
        <v>0</v>
      </c>
    </row>
    <row r="158" spans="1:8" x14ac:dyDescent="0.25">
      <c r="A158" s="295" t="s">
        <v>98</v>
      </c>
      <c r="B158" s="296"/>
      <c r="C158" s="14">
        <f>C125</f>
        <v>0</v>
      </c>
      <c r="D158" s="14">
        <f>D125</f>
        <v>0</v>
      </c>
      <c r="E158" s="14">
        <f>E125</f>
        <v>0</v>
      </c>
      <c r="F158" s="14">
        <f>F125</f>
        <v>0</v>
      </c>
      <c r="G158" s="14">
        <f t="shared" ref="G158:H158" si="69">G125</f>
        <v>0</v>
      </c>
      <c r="H158" s="26">
        <f t="shared" si="69"/>
        <v>0</v>
      </c>
    </row>
    <row r="159" spans="1:8" x14ac:dyDescent="0.25">
      <c r="A159" s="322" t="s">
        <v>72</v>
      </c>
      <c r="B159" s="323"/>
      <c r="C159" s="18">
        <f>IF(C157&lt;=0,0,C157/C158)</f>
        <v>0</v>
      </c>
      <c r="D159" s="18">
        <f>IF(D157&lt;=0,0,D157/D158)</f>
        <v>0</v>
      </c>
      <c r="E159" s="18">
        <f>IF(E157&lt;=0,0,E157/E158)</f>
        <v>0</v>
      </c>
      <c r="F159" s="18">
        <f>IF(F157&lt;=0,0,F157/F158)</f>
        <v>0</v>
      </c>
      <c r="G159" s="18">
        <f t="shared" ref="G159:H159" si="70">IF(G157&lt;=0,0,G157/G158)</f>
        <v>0</v>
      </c>
      <c r="H159" s="29">
        <f t="shared" si="70"/>
        <v>0</v>
      </c>
    </row>
    <row r="160" spans="1:8" ht="14.25" thickBot="1" x14ac:dyDescent="0.3">
      <c r="A160" s="316"/>
      <c r="B160" s="317"/>
      <c r="C160" s="35"/>
      <c r="D160" s="35"/>
      <c r="E160" s="35"/>
      <c r="F160" s="35"/>
      <c r="G160" s="35"/>
      <c r="H160" s="36"/>
    </row>
    <row r="161" spans="1:1" x14ac:dyDescent="0.25">
      <c r="A161" s="99"/>
    </row>
    <row r="162" spans="1:1" x14ac:dyDescent="0.25">
      <c r="A162" s="166">
        <v>0.5</v>
      </c>
    </row>
    <row r="163" spans="1:1" x14ac:dyDescent="0.25">
      <c r="A163" s="166">
        <v>1</v>
      </c>
    </row>
    <row r="164" spans="1:1" x14ac:dyDescent="0.25">
      <c r="A164" s="166">
        <v>1.5</v>
      </c>
    </row>
    <row r="165" spans="1:1" x14ac:dyDescent="0.25">
      <c r="A165" s="166">
        <v>2</v>
      </c>
    </row>
    <row r="166" spans="1:1" x14ac:dyDescent="0.25">
      <c r="A166" s="166">
        <v>2.5</v>
      </c>
    </row>
    <row r="167" spans="1:1" x14ac:dyDescent="0.25">
      <c r="A167" s="166">
        <v>3</v>
      </c>
    </row>
    <row r="168" spans="1:1" x14ac:dyDescent="0.25">
      <c r="A168" s="166">
        <v>3.5</v>
      </c>
    </row>
    <row r="169" spans="1:1" x14ac:dyDescent="0.25">
      <c r="A169" s="166">
        <v>4</v>
      </c>
    </row>
    <row r="170" spans="1:1" x14ac:dyDescent="0.25">
      <c r="A170" s="166">
        <v>4.5</v>
      </c>
    </row>
    <row r="171" spans="1:1" x14ac:dyDescent="0.25">
      <c r="A171" s="166">
        <v>5</v>
      </c>
    </row>
    <row r="172" spans="1:1" x14ac:dyDescent="0.25">
      <c r="A172" s="166">
        <v>5.5</v>
      </c>
    </row>
    <row r="173" spans="1:1" x14ac:dyDescent="0.25">
      <c r="A173" s="166">
        <v>6</v>
      </c>
    </row>
    <row r="174" spans="1:1" x14ac:dyDescent="0.25">
      <c r="A174" s="166">
        <v>6.5</v>
      </c>
    </row>
    <row r="175" spans="1:1" x14ac:dyDescent="0.25">
      <c r="A175" s="166">
        <v>7</v>
      </c>
    </row>
    <row r="176" spans="1:1" x14ac:dyDescent="0.25">
      <c r="A176" s="166">
        <v>7.5</v>
      </c>
    </row>
    <row r="177" spans="1:2" x14ac:dyDescent="0.25">
      <c r="A177" s="166">
        <v>8</v>
      </c>
      <c r="B177" s="99" t="s">
        <v>182</v>
      </c>
    </row>
    <row r="178" spans="1:2" x14ac:dyDescent="0.25">
      <c r="A178" s="166">
        <v>8.5</v>
      </c>
      <c r="B178" s="99" t="s">
        <v>184</v>
      </c>
    </row>
    <row r="179" spans="1:2" x14ac:dyDescent="0.25">
      <c r="A179" s="166">
        <v>9</v>
      </c>
    </row>
    <row r="180" spans="1:2" x14ac:dyDescent="0.25">
      <c r="A180" s="166">
        <v>9.5</v>
      </c>
      <c r="B180" s="99">
        <v>1</v>
      </c>
    </row>
    <row r="181" spans="1:2" x14ac:dyDescent="0.25">
      <c r="A181" s="166">
        <v>10</v>
      </c>
      <c r="B181" s="99">
        <v>2</v>
      </c>
    </row>
    <row r="182" spans="1:2" x14ac:dyDescent="0.25">
      <c r="A182" s="166">
        <v>10.5</v>
      </c>
      <c r="B182" s="99">
        <v>3</v>
      </c>
    </row>
    <row r="183" spans="1:2" x14ac:dyDescent="0.25">
      <c r="A183" s="166">
        <v>11</v>
      </c>
      <c r="B183" s="99">
        <v>4</v>
      </c>
    </row>
    <row r="184" spans="1:2" x14ac:dyDescent="0.25">
      <c r="A184" s="166">
        <v>11.5</v>
      </c>
      <c r="B184" s="99">
        <v>5</v>
      </c>
    </row>
    <row r="185" spans="1:2" x14ac:dyDescent="0.25">
      <c r="A185" s="166">
        <v>12</v>
      </c>
      <c r="B185" s="99">
        <v>6</v>
      </c>
    </row>
    <row r="186" spans="1:2" x14ac:dyDescent="0.25">
      <c r="A186" s="166">
        <v>12.5</v>
      </c>
      <c r="B186" s="99">
        <v>7</v>
      </c>
    </row>
    <row r="187" spans="1:2" x14ac:dyDescent="0.25">
      <c r="A187" s="166">
        <v>13</v>
      </c>
      <c r="B187" s="99">
        <v>8</v>
      </c>
    </row>
    <row r="188" spans="1:2" x14ac:dyDescent="0.25">
      <c r="A188" s="166">
        <v>13.5</v>
      </c>
      <c r="B188" s="99">
        <v>9</v>
      </c>
    </row>
    <row r="189" spans="1:2" x14ac:dyDescent="0.25">
      <c r="A189" s="166">
        <v>14</v>
      </c>
      <c r="B189" s="99">
        <v>10</v>
      </c>
    </row>
    <row r="190" spans="1:2" x14ac:dyDescent="0.25">
      <c r="A190" s="166">
        <v>14.5</v>
      </c>
      <c r="B190" s="99">
        <v>11</v>
      </c>
    </row>
    <row r="191" spans="1:2" x14ac:dyDescent="0.25">
      <c r="A191" s="166">
        <v>15</v>
      </c>
      <c r="B191" s="99">
        <v>12</v>
      </c>
    </row>
    <row r="192" spans="1:2" x14ac:dyDescent="0.25">
      <c r="A192" s="166">
        <v>15.5</v>
      </c>
      <c r="B192" s="99">
        <v>13</v>
      </c>
    </row>
    <row r="193" spans="1:2" x14ac:dyDescent="0.25">
      <c r="A193" s="166">
        <v>16</v>
      </c>
      <c r="B193" s="99">
        <v>14</v>
      </c>
    </row>
    <row r="194" spans="1:2" x14ac:dyDescent="0.25">
      <c r="A194" s="166">
        <v>16.5</v>
      </c>
      <c r="B194" s="99">
        <v>15</v>
      </c>
    </row>
    <row r="195" spans="1:2" x14ac:dyDescent="0.25">
      <c r="A195" s="166">
        <v>17</v>
      </c>
      <c r="B195" s="99">
        <v>16</v>
      </c>
    </row>
    <row r="196" spans="1:2" x14ac:dyDescent="0.25">
      <c r="A196" s="166">
        <v>17.5</v>
      </c>
      <c r="B196" s="99">
        <v>17</v>
      </c>
    </row>
    <row r="197" spans="1:2" x14ac:dyDescent="0.25">
      <c r="A197" s="166">
        <v>18</v>
      </c>
      <c r="B197" s="99">
        <v>18</v>
      </c>
    </row>
    <row r="198" spans="1:2" x14ac:dyDescent="0.25">
      <c r="A198" s="166">
        <v>18.5</v>
      </c>
      <c r="B198" s="99">
        <v>19</v>
      </c>
    </row>
    <row r="199" spans="1:2" x14ac:dyDescent="0.25">
      <c r="A199" s="166">
        <v>19</v>
      </c>
      <c r="B199" s="99">
        <v>20</v>
      </c>
    </row>
    <row r="200" spans="1:2" x14ac:dyDescent="0.25">
      <c r="A200" s="166">
        <v>19.5</v>
      </c>
      <c r="B200" s="99">
        <v>21</v>
      </c>
    </row>
    <row r="201" spans="1:2" x14ac:dyDescent="0.25">
      <c r="A201" s="166">
        <v>20</v>
      </c>
      <c r="B201" s="99">
        <v>22</v>
      </c>
    </row>
    <row r="202" spans="1:2" x14ac:dyDescent="0.25">
      <c r="A202" s="166">
        <v>20.5</v>
      </c>
      <c r="B202" s="99">
        <v>23</v>
      </c>
    </row>
    <row r="203" spans="1:2" x14ac:dyDescent="0.25">
      <c r="A203" s="166">
        <v>21</v>
      </c>
      <c r="B203" s="99">
        <v>24</v>
      </c>
    </row>
    <row r="204" spans="1:2" x14ac:dyDescent="0.25">
      <c r="A204" s="166">
        <v>21.5</v>
      </c>
      <c r="B204" s="99">
        <v>25</v>
      </c>
    </row>
    <row r="205" spans="1:2" x14ac:dyDescent="0.25">
      <c r="A205" s="166">
        <v>22</v>
      </c>
      <c r="B205" s="99">
        <v>26</v>
      </c>
    </row>
    <row r="206" spans="1:2" x14ac:dyDescent="0.25">
      <c r="A206" s="166">
        <v>22.5</v>
      </c>
      <c r="B206" s="99">
        <v>27</v>
      </c>
    </row>
    <row r="207" spans="1:2" x14ac:dyDescent="0.25">
      <c r="A207" s="166">
        <v>23</v>
      </c>
      <c r="B207" s="99">
        <v>28</v>
      </c>
    </row>
    <row r="208" spans="1:2" x14ac:dyDescent="0.25">
      <c r="A208" s="166">
        <v>23.5</v>
      </c>
      <c r="B208" s="99">
        <v>29</v>
      </c>
    </row>
    <row r="209" spans="1:2" x14ac:dyDescent="0.25">
      <c r="A209" s="166">
        <v>24</v>
      </c>
      <c r="B209" s="99">
        <v>30</v>
      </c>
    </row>
    <row r="210" spans="1:2" x14ac:dyDescent="0.25">
      <c r="A210" s="166">
        <v>24.5</v>
      </c>
      <c r="B210" s="99">
        <v>-1</v>
      </c>
    </row>
    <row r="211" spans="1:2" x14ac:dyDescent="0.25">
      <c r="A211" s="166">
        <v>25</v>
      </c>
      <c r="B211" s="99">
        <v>-2</v>
      </c>
    </row>
    <row r="212" spans="1:2" x14ac:dyDescent="0.25">
      <c r="A212" s="166">
        <v>25.5</v>
      </c>
      <c r="B212" s="99">
        <v>-3</v>
      </c>
    </row>
    <row r="213" spans="1:2" x14ac:dyDescent="0.25">
      <c r="A213" s="166">
        <v>26</v>
      </c>
      <c r="B213" s="99">
        <v>-4</v>
      </c>
    </row>
    <row r="214" spans="1:2" x14ac:dyDescent="0.25">
      <c r="A214" s="166">
        <v>26.5</v>
      </c>
      <c r="B214" s="99">
        <v>-5</v>
      </c>
    </row>
    <row r="215" spans="1:2" x14ac:dyDescent="0.25">
      <c r="A215" s="166">
        <v>27</v>
      </c>
      <c r="B215" s="99">
        <v>-6</v>
      </c>
    </row>
    <row r="216" spans="1:2" x14ac:dyDescent="0.25">
      <c r="A216" s="166">
        <v>27.5</v>
      </c>
      <c r="B216" s="99">
        <v>-7</v>
      </c>
    </row>
    <row r="217" spans="1:2" x14ac:dyDescent="0.25">
      <c r="A217" s="166">
        <v>28</v>
      </c>
      <c r="B217" s="99">
        <v>-8</v>
      </c>
    </row>
    <row r="218" spans="1:2" x14ac:dyDescent="0.25">
      <c r="A218" s="166">
        <v>28.5</v>
      </c>
      <c r="B218" s="99">
        <v>-9</v>
      </c>
    </row>
    <row r="219" spans="1:2" x14ac:dyDescent="0.25">
      <c r="A219" s="166">
        <v>29</v>
      </c>
      <c r="B219" s="99">
        <v>-10</v>
      </c>
    </row>
    <row r="220" spans="1:2" x14ac:dyDescent="0.25">
      <c r="A220" s="166">
        <v>29.5</v>
      </c>
      <c r="B220" s="99">
        <v>-11</v>
      </c>
    </row>
    <row r="221" spans="1:2" x14ac:dyDescent="0.25">
      <c r="A221" s="166">
        <v>30</v>
      </c>
      <c r="B221" s="99">
        <v>-12</v>
      </c>
    </row>
    <row r="222" spans="1:2" x14ac:dyDescent="0.25">
      <c r="A222" s="166">
        <v>-0.5</v>
      </c>
      <c r="B222" s="99">
        <v>-13</v>
      </c>
    </row>
    <row r="223" spans="1:2" x14ac:dyDescent="0.25">
      <c r="A223" s="166">
        <v>-1</v>
      </c>
      <c r="B223" s="99">
        <v>-14</v>
      </c>
    </row>
    <row r="224" spans="1:2" x14ac:dyDescent="0.25">
      <c r="A224" s="166">
        <v>-1.5</v>
      </c>
      <c r="B224" s="99">
        <v>-15</v>
      </c>
    </row>
    <row r="225" spans="1:2" x14ac:dyDescent="0.25">
      <c r="A225" s="166">
        <v>-2</v>
      </c>
      <c r="B225" s="99">
        <v>-16</v>
      </c>
    </row>
    <row r="226" spans="1:2" x14ac:dyDescent="0.25">
      <c r="A226" s="166">
        <v>-2.5</v>
      </c>
      <c r="B226" s="99">
        <v>-17</v>
      </c>
    </row>
    <row r="227" spans="1:2" x14ac:dyDescent="0.25">
      <c r="A227" s="166">
        <v>-3</v>
      </c>
      <c r="B227" s="99">
        <v>-18</v>
      </c>
    </row>
    <row r="228" spans="1:2" x14ac:dyDescent="0.25">
      <c r="A228" s="166">
        <v>-3.5</v>
      </c>
      <c r="B228" s="99">
        <v>-19</v>
      </c>
    </row>
    <row r="229" spans="1:2" x14ac:dyDescent="0.25">
      <c r="A229" s="166">
        <v>-4</v>
      </c>
      <c r="B229" s="99">
        <v>-20</v>
      </c>
    </row>
    <row r="230" spans="1:2" x14ac:dyDescent="0.25">
      <c r="A230" s="166">
        <v>-4.5</v>
      </c>
      <c r="B230" s="99">
        <v>-21</v>
      </c>
    </row>
    <row r="231" spans="1:2" x14ac:dyDescent="0.25">
      <c r="A231" s="166">
        <v>-5</v>
      </c>
      <c r="B231" s="99">
        <v>-22</v>
      </c>
    </row>
    <row r="232" spans="1:2" x14ac:dyDescent="0.25">
      <c r="A232" s="166">
        <v>-5.5</v>
      </c>
      <c r="B232" s="99">
        <v>-23</v>
      </c>
    </row>
    <row r="233" spans="1:2" x14ac:dyDescent="0.25">
      <c r="A233" s="166">
        <v>-6</v>
      </c>
      <c r="B233" s="99">
        <v>-24</v>
      </c>
    </row>
    <row r="234" spans="1:2" x14ac:dyDescent="0.25">
      <c r="A234" s="166">
        <v>-6.5</v>
      </c>
      <c r="B234" s="99">
        <v>-25</v>
      </c>
    </row>
    <row r="235" spans="1:2" x14ac:dyDescent="0.25">
      <c r="A235" s="166">
        <v>-7</v>
      </c>
      <c r="B235" s="99">
        <v>-26</v>
      </c>
    </row>
    <row r="236" spans="1:2" x14ac:dyDescent="0.25">
      <c r="A236" s="166">
        <v>-7.5</v>
      </c>
      <c r="B236" s="99">
        <v>-27</v>
      </c>
    </row>
    <row r="237" spans="1:2" x14ac:dyDescent="0.25">
      <c r="A237" s="166">
        <v>-8</v>
      </c>
      <c r="B237" s="99">
        <v>-28</v>
      </c>
    </row>
    <row r="238" spans="1:2" x14ac:dyDescent="0.25">
      <c r="A238" s="166">
        <v>-8.5</v>
      </c>
      <c r="B238" s="99">
        <v>-29</v>
      </c>
    </row>
    <row r="239" spans="1:2" x14ac:dyDescent="0.25">
      <c r="A239" s="166">
        <v>-9</v>
      </c>
      <c r="B239" s="99">
        <v>-30</v>
      </c>
    </row>
    <row r="240" spans="1:2" x14ac:dyDescent="0.25">
      <c r="A240" s="166">
        <v>-9.5</v>
      </c>
    </row>
    <row r="241" spans="1:1" x14ac:dyDescent="0.25">
      <c r="A241" s="166">
        <v>-10</v>
      </c>
    </row>
    <row r="242" spans="1:1" x14ac:dyDescent="0.25">
      <c r="A242" s="166">
        <v>-10.5</v>
      </c>
    </row>
    <row r="243" spans="1:1" x14ac:dyDescent="0.25">
      <c r="A243" s="166">
        <v>-11</v>
      </c>
    </row>
    <row r="244" spans="1:1" x14ac:dyDescent="0.25">
      <c r="A244" s="166">
        <v>-11.5</v>
      </c>
    </row>
    <row r="245" spans="1:1" x14ac:dyDescent="0.25">
      <c r="A245" s="166">
        <v>-12</v>
      </c>
    </row>
    <row r="246" spans="1:1" x14ac:dyDescent="0.25">
      <c r="A246" s="166">
        <v>-12.5</v>
      </c>
    </row>
    <row r="247" spans="1:1" x14ac:dyDescent="0.25">
      <c r="A247" s="166">
        <v>-13</v>
      </c>
    </row>
    <row r="248" spans="1:1" x14ac:dyDescent="0.25">
      <c r="A248" s="166">
        <v>-13.5</v>
      </c>
    </row>
    <row r="249" spans="1:1" x14ac:dyDescent="0.25">
      <c r="A249" s="166">
        <v>-14</v>
      </c>
    </row>
    <row r="250" spans="1:1" x14ac:dyDescent="0.25">
      <c r="A250" s="166">
        <v>-14.5</v>
      </c>
    </row>
    <row r="251" spans="1:1" x14ac:dyDescent="0.25">
      <c r="A251" s="166">
        <v>-15</v>
      </c>
    </row>
    <row r="252" spans="1:1" x14ac:dyDescent="0.25">
      <c r="A252" s="166">
        <v>-15.5</v>
      </c>
    </row>
    <row r="253" spans="1:1" x14ac:dyDescent="0.25">
      <c r="A253" s="166">
        <v>-16</v>
      </c>
    </row>
    <row r="254" spans="1:1" x14ac:dyDescent="0.25">
      <c r="A254" s="166">
        <v>-16.5</v>
      </c>
    </row>
    <row r="255" spans="1:1" x14ac:dyDescent="0.25">
      <c r="A255" s="166">
        <v>-17</v>
      </c>
    </row>
    <row r="256" spans="1:1" x14ac:dyDescent="0.25">
      <c r="A256" s="166">
        <v>-17.5</v>
      </c>
    </row>
    <row r="257" spans="1:1" x14ac:dyDescent="0.25">
      <c r="A257" s="166">
        <v>-18</v>
      </c>
    </row>
    <row r="258" spans="1:1" x14ac:dyDescent="0.25">
      <c r="A258" s="166">
        <v>-18.5</v>
      </c>
    </row>
    <row r="259" spans="1:1" x14ac:dyDescent="0.25">
      <c r="A259" s="166">
        <v>-19</v>
      </c>
    </row>
    <row r="260" spans="1:1" x14ac:dyDescent="0.25">
      <c r="A260" s="166">
        <v>-19.5</v>
      </c>
    </row>
    <row r="261" spans="1:1" x14ac:dyDescent="0.25">
      <c r="A261" s="166">
        <v>-20</v>
      </c>
    </row>
    <row r="262" spans="1:1" x14ac:dyDescent="0.25">
      <c r="A262" s="166">
        <v>-20.5</v>
      </c>
    </row>
    <row r="263" spans="1:1" x14ac:dyDescent="0.25">
      <c r="A263" s="166">
        <v>-21</v>
      </c>
    </row>
    <row r="264" spans="1:1" x14ac:dyDescent="0.25">
      <c r="A264" s="166">
        <v>-21.5</v>
      </c>
    </row>
    <row r="265" spans="1:1" x14ac:dyDescent="0.25">
      <c r="A265" s="166">
        <v>-22</v>
      </c>
    </row>
    <row r="266" spans="1:1" x14ac:dyDescent="0.25">
      <c r="A266" s="166">
        <v>-22.5</v>
      </c>
    </row>
    <row r="267" spans="1:1" x14ac:dyDescent="0.25">
      <c r="A267" s="166">
        <v>-23</v>
      </c>
    </row>
    <row r="268" spans="1:1" x14ac:dyDescent="0.25">
      <c r="A268" s="166">
        <v>-23.5</v>
      </c>
    </row>
    <row r="269" spans="1:1" x14ac:dyDescent="0.25">
      <c r="A269" s="166">
        <v>-24</v>
      </c>
    </row>
    <row r="270" spans="1:1" x14ac:dyDescent="0.25">
      <c r="A270" s="166">
        <v>-24.5</v>
      </c>
    </row>
    <row r="271" spans="1:1" x14ac:dyDescent="0.25">
      <c r="A271" s="166">
        <v>-25</v>
      </c>
    </row>
    <row r="272" spans="1:1" x14ac:dyDescent="0.25">
      <c r="A272" s="166">
        <v>-25.5</v>
      </c>
    </row>
    <row r="273" spans="1:1" x14ac:dyDescent="0.25">
      <c r="A273" s="166">
        <v>-26</v>
      </c>
    </row>
    <row r="274" spans="1:1" x14ac:dyDescent="0.25">
      <c r="A274" s="166">
        <v>-26.5</v>
      </c>
    </row>
    <row r="275" spans="1:1" x14ac:dyDescent="0.25">
      <c r="A275" s="166">
        <v>-27</v>
      </c>
    </row>
    <row r="276" spans="1:1" x14ac:dyDescent="0.25">
      <c r="A276" s="166">
        <v>-27.5</v>
      </c>
    </row>
    <row r="277" spans="1:1" x14ac:dyDescent="0.25">
      <c r="A277" s="166">
        <v>-28</v>
      </c>
    </row>
    <row r="278" spans="1:1" x14ac:dyDescent="0.25">
      <c r="A278" s="166">
        <v>-28.5</v>
      </c>
    </row>
    <row r="279" spans="1:1" x14ac:dyDescent="0.25">
      <c r="A279" s="166">
        <v>-29</v>
      </c>
    </row>
    <row r="280" spans="1:1" x14ac:dyDescent="0.25">
      <c r="A280" s="166">
        <v>-29.5</v>
      </c>
    </row>
    <row r="281" spans="1:1" x14ac:dyDescent="0.25">
      <c r="A281" s="166">
        <v>-30</v>
      </c>
    </row>
  </sheetData>
  <sheetProtection algorithmName="SHA-512" hashValue="5Gum6XpVIzPf65IYFcy+cuj0dYF8gLU5+GPZBwmRwBXalB0C7teFliJC1vfue3P6rTsf9JTn9/+TzFnZW0MpCA==" saltValue="GOXYdxNYMZLxmJ6vYZIRSw==" spinCount="100000" sheet="1" sort="0"/>
  <customSheetViews>
    <customSheetView guid="{8FA47B43-BA6D-4089-B9C0-4EA64D53BE1E}" scale="90" showPageBreaks="1" view="pageLayout" showRuler="0" topLeftCell="A49">
      <selection activeCell="E83" sqref="E83"/>
      <rowBreaks count="2" manualBreakCount="2">
        <brk id="57" max="16383" man="1"/>
        <brk id="101" max="16383" man="1"/>
      </rowBreaks>
      <pageMargins left="0.25" right="0.25" top="0.75" bottom="0.75" header="0.3" footer="0.3"/>
      <pageSetup paperSize="9" orientation="portrait" r:id="rId1"/>
      <headerFooter>
        <oddHeader>&amp;LV1.0&amp;CEvaluation prospective (EP)&amp;R&amp;D</oddHeader>
        <oddFooter>&amp;LFichier d'analyse réalisé par l'UCV
conseils@ucv.ch&amp;C&amp;G&amp;R&amp;P/&amp;N</oddFooter>
      </headerFooter>
    </customSheetView>
  </customSheetViews>
  <mergeCells count="153">
    <mergeCell ref="A118:H118"/>
    <mergeCell ref="A115:H115"/>
    <mergeCell ref="A117:H117"/>
    <mergeCell ref="C1:H1"/>
    <mergeCell ref="A160:B160"/>
    <mergeCell ref="A149:H149"/>
    <mergeCell ref="A113:H113"/>
    <mergeCell ref="A114:H114"/>
    <mergeCell ref="A116:H116"/>
    <mergeCell ref="A154:B154"/>
    <mergeCell ref="A155:B155"/>
    <mergeCell ref="A156:B156"/>
    <mergeCell ref="A157:B157"/>
    <mergeCell ref="A158:B158"/>
    <mergeCell ref="A159:B159"/>
    <mergeCell ref="A148:B148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1:B141"/>
    <mergeCell ref="A130:B130"/>
    <mergeCell ref="A131:B131"/>
    <mergeCell ref="A132:B132"/>
    <mergeCell ref="A133:B133"/>
    <mergeCell ref="A135:B135"/>
    <mergeCell ref="A124:B124"/>
    <mergeCell ref="A125:B125"/>
    <mergeCell ref="A126:B126"/>
    <mergeCell ref="A127:B127"/>
    <mergeCell ref="A129:B129"/>
    <mergeCell ref="H65:H67"/>
    <mergeCell ref="A120:B120"/>
    <mergeCell ref="A121:B121"/>
    <mergeCell ref="A123:B123"/>
    <mergeCell ref="A111:B111"/>
    <mergeCell ref="C65:C67"/>
    <mergeCell ref="D65:D67"/>
    <mergeCell ref="E65:E67"/>
    <mergeCell ref="F65:F67"/>
    <mergeCell ref="G65:G67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2:B92"/>
    <mergeCell ref="A93:B93"/>
    <mergeCell ref="A96:B96"/>
    <mergeCell ref="A97:B97"/>
    <mergeCell ref="A98:B98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57:B57"/>
    <mergeCell ref="A58:B58"/>
    <mergeCell ref="A59:B59"/>
    <mergeCell ref="A63:B63"/>
    <mergeCell ref="A64:B64"/>
    <mergeCell ref="A65:B65"/>
    <mergeCell ref="A61:B61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5:B25"/>
    <mergeCell ref="A26:B26"/>
    <mergeCell ref="A27:B27"/>
    <mergeCell ref="A28:B28"/>
    <mergeCell ref="A31:B31"/>
    <mergeCell ref="A32:B32"/>
    <mergeCell ref="A19:B19"/>
    <mergeCell ref="A20:B20"/>
    <mergeCell ref="A21:B21"/>
    <mergeCell ref="A22:B22"/>
    <mergeCell ref="A23:B23"/>
    <mergeCell ref="A24:B24"/>
    <mergeCell ref="A14:B14"/>
    <mergeCell ref="A15:B15"/>
    <mergeCell ref="A16:B16"/>
    <mergeCell ref="A17:B17"/>
    <mergeCell ref="A18:B18"/>
    <mergeCell ref="A11:B11"/>
    <mergeCell ref="A9:B9"/>
    <mergeCell ref="A10:B10"/>
    <mergeCell ref="A1:B1"/>
    <mergeCell ref="A2:B2"/>
    <mergeCell ref="A12:B12"/>
    <mergeCell ref="A13:B13"/>
    <mergeCell ref="A3:B3"/>
    <mergeCell ref="A4:B4"/>
    <mergeCell ref="A5:B5"/>
    <mergeCell ref="A6:B6"/>
    <mergeCell ref="A7:B7"/>
    <mergeCell ref="A8:B8"/>
  </mergeCells>
  <phoneticPr fontId="10" type="noConversion"/>
  <conditionalFormatting sqref="C126:H126">
    <cfRule type="cellIs" dxfId="47" priority="9" operator="between">
      <formula>2</formula>
      <formula>2.5</formula>
    </cfRule>
    <cfRule type="cellIs" dxfId="46" priority="10" operator="lessThan">
      <formula>2</formula>
    </cfRule>
    <cfRule type="cellIs" dxfId="45" priority="11" operator="greaterThan">
      <formula>2.5</formula>
    </cfRule>
  </conditionalFormatting>
  <conditionalFormatting sqref="C132:H132">
    <cfRule type="cellIs" dxfId="44" priority="5" operator="equal">
      <formula>"Impossible"</formula>
    </cfRule>
    <cfRule type="cellIs" dxfId="43" priority="6" operator="lessThan">
      <formula>25</formula>
    </cfRule>
    <cfRule type="cellIs" dxfId="42" priority="7" operator="between">
      <formula>25</formula>
      <formula>30</formula>
    </cfRule>
    <cfRule type="cellIs" dxfId="41" priority="8" operator="greaterThan">
      <formula>30</formula>
    </cfRule>
  </conditionalFormatting>
  <conditionalFormatting sqref="C159:H159">
    <cfRule type="cellIs" dxfId="40" priority="2" operator="lessThan">
      <formula>0.1</formula>
    </cfRule>
    <cfRule type="cellIs" dxfId="39" priority="3" operator="between">
      <formula>0.1</formula>
      <formula>0.2</formula>
    </cfRule>
    <cfRule type="cellIs" dxfId="38" priority="4" operator="greaterThan">
      <formula>0.2</formula>
    </cfRule>
  </conditionalFormatting>
  <conditionalFormatting sqref="C153:H153">
    <cfRule type="cellIs" dxfId="37" priority="1" operator="equal">
      <formula>0</formula>
    </cfRule>
  </conditionalFormatting>
  <dataValidations disablePrompts="1" count="15">
    <dataValidation type="list" allowBlank="1" showInputMessage="1" showErrorMessage="1" sqref="J28:J30" xr:uid="{6F71C824-F850-446C-9320-6F5CB60B6FAB}">
      <formula1>$L$28:$N$28</formula1>
    </dataValidation>
    <dataValidation type="list" allowBlank="1" showInputMessage="1" showErrorMessage="1" sqref="J39" xr:uid="{86CB3C3D-D192-4E6D-A34F-EDB76F46A2A1}">
      <formula1>$L$39:$N$39</formula1>
    </dataValidation>
    <dataValidation type="list" allowBlank="1" showInputMessage="1" showErrorMessage="1" sqref="J36" xr:uid="{1303219F-BAAE-4FDB-BDE2-A908F863652E}">
      <formula1>$L$36:$N$36</formula1>
    </dataValidation>
    <dataValidation type="list" allowBlank="1" showInputMessage="1" showErrorMessage="1" sqref="J52" xr:uid="{42C7606B-483E-426A-9DF4-AAFAE1295AEC}">
      <formula1>$L$52:$N$52</formula1>
    </dataValidation>
    <dataValidation type="list" allowBlank="1" showInputMessage="1" showErrorMessage="1" sqref="J49" xr:uid="{99662B8F-16D6-4828-ACDD-67C79E06B515}">
      <formula1>$L$49:$N$49</formula1>
    </dataValidation>
    <dataValidation type="list" allowBlank="1" showInputMessage="1" showErrorMessage="1" sqref="J86" xr:uid="{2296D471-F68A-4847-8FFC-7B386D36AF72}">
      <formula1>$L$86:$N$86</formula1>
    </dataValidation>
    <dataValidation type="list" allowBlank="1" showInputMessage="1" showErrorMessage="1" sqref="J83" xr:uid="{C8054C01-9B32-4E30-8CF7-17BC86A5781C}">
      <formula1>$L$83:$N$83</formula1>
    </dataValidation>
    <dataValidation type="list" allowBlank="1" showInputMessage="1" showErrorMessage="1" sqref="J80" xr:uid="{8E328D96-0FC5-4F45-A7F3-F4E870B5D14E}">
      <formula1>$L$80:$N$80</formula1>
    </dataValidation>
    <dataValidation type="list" allowBlank="1" showInputMessage="1" showErrorMessage="1" sqref="J77" xr:uid="{09B56C1E-3A96-4C53-8F44-DF941B05FEA9}">
      <formula1>$L$77:$N$77</formula1>
    </dataValidation>
    <dataValidation type="list" allowBlank="1" showInputMessage="1" showErrorMessage="1" sqref="J74" xr:uid="{05129B05-AE17-4ADF-823C-A31ADBD01EAF}">
      <formula1>$L$74:$N$74</formula1>
    </dataValidation>
    <dataValidation type="list" allowBlank="1" showInputMessage="1" showErrorMessage="1" sqref="J71" xr:uid="{79B026C3-2600-4364-B972-B888AFF074F6}">
      <formula1>$L$71:$N$71</formula1>
    </dataValidation>
    <dataValidation type="list" allowBlank="1" showInputMessage="1" showErrorMessage="1" sqref="J15 J24 J17 J10 J8 J22" xr:uid="{6A115E77-33DB-48D1-B811-4C4DB11FA579}">
      <formula1>$B$177:$B$178</formula1>
    </dataValidation>
    <dataValidation type="list" allowBlank="1" showInputMessage="1" showErrorMessage="1" sqref="B67" xr:uid="{969521E1-0FAB-431F-BFFA-41A4B1D995F6}">
      <formula1>$C$63:$I$63</formula1>
    </dataValidation>
    <dataValidation type="list" allowBlank="1" showInputMessage="1" showErrorMessage="1" sqref="B66" xr:uid="{E5665FCB-9E66-4BF5-9E44-060F2005BAAA}">
      <formula1>$A$161:$A$281</formula1>
    </dataValidation>
    <dataValidation type="list" allowBlank="1" showInputMessage="1" showErrorMessage="1" sqref="J65" xr:uid="{D8B64239-13CB-4DDA-9A29-C6391A61CB2F}">
      <formula1>$L$65:$O$65</formula1>
    </dataValidation>
  </dataValidations>
  <pageMargins left="0.25" right="0.25" top="0.75" bottom="0.75" header="0.3" footer="0.3"/>
  <pageSetup paperSize="9" orientation="landscape" r:id="rId2"/>
  <headerFooter>
    <oddHeader>&amp;LV6.0&amp;CEvaluation prospective (EP)&amp;R&amp;D</oddHeader>
    <oddFooter>&amp;LFichier d'analyse réalisé par l'UCV
conseils@ucv.ch&amp;C&amp;G&amp;R&amp;P/&amp;N</oddFooter>
  </headerFooter>
  <rowBreaks count="4" manualBreakCount="4">
    <brk id="30" max="9" man="1"/>
    <brk id="59" max="16383" man="1"/>
    <brk id="94" max="9" man="1"/>
    <brk id="118" max="9" man="1"/>
  </rowBreak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202A-0A9A-478F-9FD3-1FA8453A0CAD}">
  <sheetPr codeName="Feuil5">
    <tabColor theme="4"/>
  </sheetPr>
  <dimension ref="A1:R34"/>
  <sheetViews>
    <sheetView showGridLines="0" view="pageLayout" zoomScaleNormal="100" workbookViewId="0">
      <selection activeCell="S22" sqref="S22"/>
    </sheetView>
  </sheetViews>
  <sheetFormatPr defaultColWidth="11.19921875" defaultRowHeight="13.5" x14ac:dyDescent="0.25"/>
  <cols>
    <col min="1" max="1" width="50.3984375" customWidth="1"/>
    <col min="2" max="12" width="13.19921875" customWidth="1"/>
    <col min="13" max="13" width="5" customWidth="1"/>
  </cols>
  <sheetData>
    <row r="1" spans="1:14" ht="15.75" x14ac:dyDescent="0.25">
      <c r="A1" s="60" t="s">
        <v>169</v>
      </c>
      <c r="C1" s="279">
        <f>Données!D1</f>
        <v>0</v>
      </c>
      <c r="D1" s="279"/>
      <c r="E1" s="279"/>
      <c r="F1" s="279"/>
      <c r="G1" s="279"/>
      <c r="H1" s="279"/>
      <c r="I1" s="279"/>
      <c r="J1" s="279"/>
      <c r="K1" s="279"/>
      <c r="L1" s="279"/>
    </row>
    <row r="2" spans="1:14" ht="4.3499999999999996" customHeight="1" x14ac:dyDescent="0.25"/>
    <row r="3" spans="1:14" ht="15.6" customHeight="1" x14ac:dyDescent="0.25">
      <c r="A3" s="65" t="s">
        <v>77</v>
      </c>
      <c r="B3" s="12">
        <f>AF!D5</f>
        <v>0</v>
      </c>
      <c r="C3" s="12">
        <f>AF!E5</f>
        <v>0</v>
      </c>
      <c r="D3" s="12">
        <f>AF!F5</f>
        <v>0</v>
      </c>
      <c r="E3" s="12">
        <f>AF!G5</f>
        <v>0</v>
      </c>
      <c r="F3" s="12">
        <f>AF!H5</f>
        <v>0</v>
      </c>
      <c r="G3" s="71">
        <f>EP!C5</f>
        <v>1</v>
      </c>
      <c r="H3" s="71">
        <f>EP!D5</f>
        <v>2</v>
      </c>
      <c r="I3" s="71">
        <f>EP!E5</f>
        <v>3</v>
      </c>
      <c r="J3" s="71">
        <f>EP!F5</f>
        <v>4</v>
      </c>
      <c r="K3" s="71">
        <f>EP!G5</f>
        <v>5</v>
      </c>
      <c r="L3" s="71">
        <f>EP!H5</f>
        <v>6</v>
      </c>
      <c r="N3" s="191" t="s">
        <v>284</v>
      </c>
    </row>
    <row r="4" spans="1:14" ht="14.45" customHeight="1" x14ac:dyDescent="0.25">
      <c r="A4" s="64" t="s">
        <v>296</v>
      </c>
      <c r="B4" s="66">
        <f>AF!D27+AF!D17+AF!D18+AF!D20</f>
        <v>0</v>
      </c>
      <c r="C4" s="66">
        <f>AF!E27+AF!E17+AF!E18+AF!E20</f>
        <v>0</v>
      </c>
      <c r="D4" s="66">
        <f>AF!F27+AF!F17+AF!F18+AF!F20</f>
        <v>0</v>
      </c>
      <c r="E4" s="66">
        <f>AF!G27+AF!G17+AF!G18+AF!G20</f>
        <v>0</v>
      </c>
      <c r="F4" s="66">
        <f>AF!H27+AF!H17+AF!H18+AF!H20</f>
        <v>0</v>
      </c>
      <c r="G4" s="66">
        <f>EP!C99</f>
        <v>0</v>
      </c>
      <c r="H4" s="66">
        <f>EP!D99</f>
        <v>0</v>
      </c>
      <c r="I4" s="66">
        <f>EP!E99</f>
        <v>0</v>
      </c>
      <c r="J4" s="66">
        <f>EP!F99</f>
        <v>0</v>
      </c>
      <c r="K4" s="66">
        <f>EP!G99</f>
        <v>0</v>
      </c>
      <c r="L4" s="66">
        <f>EP!H99</f>
        <v>0</v>
      </c>
      <c r="N4" s="42" t="s">
        <v>280</v>
      </c>
    </row>
    <row r="5" spans="1:14" ht="14.45" customHeight="1" x14ac:dyDescent="0.25">
      <c r="A5" s="64" t="s">
        <v>297</v>
      </c>
      <c r="B5" s="66">
        <f>AF!D26+AF!D19</f>
        <v>0</v>
      </c>
      <c r="C5" s="66">
        <f>AF!E26+AF!E19</f>
        <v>0</v>
      </c>
      <c r="D5" s="66">
        <f>AF!F26+AF!F19</f>
        <v>0</v>
      </c>
      <c r="E5" s="66">
        <f>AF!G26+AF!G19</f>
        <v>0</v>
      </c>
      <c r="F5" s="66">
        <f>AF!H26+AF!H19</f>
        <v>0</v>
      </c>
      <c r="G5" s="66">
        <f>EP!C100</f>
        <v>0</v>
      </c>
      <c r="H5" s="66">
        <f>EP!D100</f>
        <v>0</v>
      </c>
      <c r="I5" s="66">
        <f>EP!E100</f>
        <v>0</v>
      </c>
      <c r="J5" s="66">
        <f>EP!F100</f>
        <v>0</v>
      </c>
      <c r="K5" s="66">
        <f>EP!G100</f>
        <v>0</v>
      </c>
      <c r="L5" s="66">
        <f>EP!H100</f>
        <v>0</v>
      </c>
      <c r="N5" s="42" t="s">
        <v>281</v>
      </c>
    </row>
    <row r="6" spans="1:14" ht="15.95" customHeight="1" x14ac:dyDescent="0.25">
      <c r="A6" s="67" t="s">
        <v>151</v>
      </c>
      <c r="B6" s="68">
        <f>B5-B4</f>
        <v>0</v>
      </c>
      <c r="C6" s="68">
        <f>C5-C4</f>
        <v>0</v>
      </c>
      <c r="D6" s="68">
        <f>D5-D4</f>
        <v>0</v>
      </c>
      <c r="E6" s="68">
        <f>E5-E4</f>
        <v>0</v>
      </c>
      <c r="F6" s="68">
        <f>F5-F4</f>
        <v>0</v>
      </c>
      <c r="G6" s="72">
        <f>EP!C101</f>
        <v>0</v>
      </c>
      <c r="H6" s="72">
        <f>EP!D101</f>
        <v>0</v>
      </c>
      <c r="I6" s="72">
        <f>EP!E101</f>
        <v>0</v>
      </c>
      <c r="J6" s="72">
        <f>EP!F101</f>
        <v>0</v>
      </c>
      <c r="K6" s="72">
        <f>EP!G101</f>
        <v>0</v>
      </c>
      <c r="L6" s="72">
        <f>EP!H101</f>
        <v>0</v>
      </c>
    </row>
    <row r="7" spans="1:14" ht="14.45" customHeight="1" x14ac:dyDescent="0.25">
      <c r="A7" s="64" t="s">
        <v>213</v>
      </c>
      <c r="B7" s="66">
        <f>AF!D17+AF!D18-AF!D19+AF!D20</f>
        <v>0</v>
      </c>
      <c r="C7" s="66">
        <f>AF!E17+AF!E18-AF!E19+AF!E20</f>
        <v>0</v>
      </c>
      <c r="D7" s="66">
        <f>AF!F17+AF!F18-AF!F19+AF!F20</f>
        <v>0</v>
      </c>
      <c r="E7" s="66">
        <f>AF!G17+AF!G18-AF!G19+AF!G20</f>
        <v>0</v>
      </c>
      <c r="F7" s="66">
        <f>AF!H17+AF!H18-AF!H19+AF!H20</f>
        <v>0</v>
      </c>
      <c r="G7" s="66">
        <f>EP!C102+EP!C103</f>
        <v>0</v>
      </c>
      <c r="H7" s="66">
        <f>EP!D102+EP!D103</f>
        <v>0</v>
      </c>
      <c r="I7" s="66">
        <f>EP!E102+EP!E103</f>
        <v>0</v>
      </c>
      <c r="J7" s="66">
        <f>EP!F102+EP!F103</f>
        <v>0</v>
      </c>
      <c r="K7" s="66">
        <f>EP!G102+EP!G103</f>
        <v>0</v>
      </c>
      <c r="L7" s="66">
        <f>EP!H102+EP!H103</f>
        <v>0</v>
      </c>
    </row>
    <row r="8" spans="1:14" ht="15.6" customHeight="1" x14ac:dyDescent="0.25">
      <c r="A8" s="69" t="s">
        <v>157</v>
      </c>
      <c r="B8" s="70">
        <f>B6+B7</f>
        <v>0</v>
      </c>
      <c r="C8" s="70">
        <f>C6+C7</f>
        <v>0</v>
      </c>
      <c r="D8" s="70">
        <f>D6+D7</f>
        <v>0</v>
      </c>
      <c r="E8" s="70">
        <f>E6+E7</f>
        <v>0</v>
      </c>
      <c r="F8" s="70">
        <f>F6+F7</f>
        <v>0</v>
      </c>
      <c r="G8" s="73">
        <f>EP!C104</f>
        <v>0</v>
      </c>
      <c r="H8" s="73">
        <f>EP!D104</f>
        <v>0</v>
      </c>
      <c r="I8" s="73">
        <f>EP!E104</f>
        <v>0</v>
      </c>
      <c r="J8" s="73">
        <f>EP!F104</f>
        <v>0</v>
      </c>
      <c r="K8" s="73">
        <f>EP!G104</f>
        <v>0</v>
      </c>
      <c r="L8" s="73">
        <f>EP!H104</f>
        <v>0</v>
      </c>
    </row>
    <row r="9" spans="1:14" ht="14.45" customHeight="1" x14ac:dyDescent="0.25">
      <c r="A9" s="64" t="s">
        <v>92</v>
      </c>
      <c r="B9" s="66">
        <f>AF!D91</f>
        <v>0</v>
      </c>
      <c r="C9" s="66">
        <f>AF!E91</f>
        <v>0</v>
      </c>
      <c r="D9" s="66">
        <f>AF!F91</f>
        <v>0</v>
      </c>
      <c r="E9" s="66">
        <f>AF!G91</f>
        <v>0</v>
      </c>
      <c r="F9" s="66">
        <f>AF!H91</f>
        <v>0</v>
      </c>
      <c r="G9" s="66">
        <f>EP!C105</f>
        <v>0</v>
      </c>
      <c r="H9" s="66">
        <f>EP!D105</f>
        <v>0</v>
      </c>
      <c r="I9" s="66">
        <f>EP!E105</f>
        <v>0</v>
      </c>
      <c r="J9" s="66">
        <f>EP!F105</f>
        <v>0</v>
      </c>
      <c r="K9" s="66">
        <f>EP!G105</f>
        <v>0</v>
      </c>
      <c r="L9" s="66">
        <f>EP!H105</f>
        <v>0</v>
      </c>
    </row>
    <row r="10" spans="1:14" ht="15.6" customHeight="1" x14ac:dyDescent="0.25">
      <c r="A10" s="69" t="s">
        <v>116</v>
      </c>
      <c r="B10" s="70">
        <f>AF!D24</f>
        <v>0</v>
      </c>
      <c r="C10" s="70">
        <f>AF!E24</f>
        <v>0</v>
      </c>
      <c r="D10" s="70">
        <f>AF!F24</f>
        <v>0</v>
      </c>
      <c r="E10" s="70">
        <f>AF!G24</f>
        <v>0</v>
      </c>
      <c r="F10" s="70">
        <f>AF!H24</f>
        <v>0</v>
      </c>
      <c r="G10" s="73">
        <f>EP!C106</f>
        <v>0</v>
      </c>
      <c r="H10" s="73">
        <f>EP!D106</f>
        <v>0</v>
      </c>
      <c r="I10" s="73">
        <f>EP!E106</f>
        <v>0</v>
      </c>
      <c r="J10" s="73">
        <f>EP!F106</f>
        <v>0</v>
      </c>
      <c r="K10" s="73">
        <f>EP!G106</f>
        <v>0</v>
      </c>
      <c r="L10" s="73">
        <f>EP!H106</f>
        <v>0</v>
      </c>
    </row>
    <row r="11" spans="1:14" ht="4.3499999999999996" customHeight="1" x14ac:dyDescent="0.25">
      <c r="A11" s="42"/>
      <c r="B11" s="201"/>
      <c r="C11" s="201"/>
      <c r="D11" s="201"/>
      <c r="E11" s="201"/>
      <c r="F11" s="201"/>
      <c r="G11" s="42"/>
      <c r="H11" s="42"/>
      <c r="I11" s="42"/>
      <c r="J11" s="42"/>
      <c r="K11" s="42"/>
      <c r="L11" s="42"/>
    </row>
    <row r="12" spans="1:14" ht="15.6" customHeight="1" x14ac:dyDescent="0.25">
      <c r="A12" s="74" t="s">
        <v>150</v>
      </c>
      <c r="B12" s="12">
        <f t="shared" ref="B12:K12" si="0">B3</f>
        <v>0</v>
      </c>
      <c r="C12" s="12">
        <f t="shared" si="0"/>
        <v>0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71">
        <f t="shared" si="0"/>
        <v>1</v>
      </c>
      <c r="H12" s="71">
        <f t="shared" si="0"/>
        <v>2</v>
      </c>
      <c r="I12" s="71">
        <f t="shared" si="0"/>
        <v>3</v>
      </c>
      <c r="J12" s="71">
        <f t="shared" si="0"/>
        <v>4</v>
      </c>
      <c r="K12" s="71">
        <f t="shared" si="0"/>
        <v>5</v>
      </c>
      <c r="L12" s="71">
        <f t="shared" ref="L12" si="1">L3</f>
        <v>6</v>
      </c>
    </row>
    <row r="13" spans="1:14" ht="14.45" customHeight="1" x14ac:dyDescent="0.25">
      <c r="A13" s="75" t="s">
        <v>100</v>
      </c>
      <c r="B13" s="76">
        <f>AF!D35</f>
        <v>0</v>
      </c>
      <c r="C13" s="76">
        <f>AF!E35</f>
        <v>0</v>
      </c>
      <c r="D13" s="76">
        <f>AF!F35</f>
        <v>0</v>
      </c>
      <c r="E13" s="76">
        <f>AF!G35</f>
        <v>0</v>
      </c>
      <c r="F13" s="76">
        <f>AF!H35</f>
        <v>0</v>
      </c>
      <c r="G13" s="76">
        <f>EP!C108</f>
        <v>0</v>
      </c>
      <c r="H13" s="76">
        <f>EP!D108</f>
        <v>0</v>
      </c>
      <c r="I13" s="76">
        <f>EP!E108</f>
        <v>0</v>
      </c>
      <c r="J13" s="76">
        <f>EP!F108</f>
        <v>0</v>
      </c>
      <c r="K13" s="76">
        <f>EP!G108</f>
        <v>0</v>
      </c>
      <c r="L13" s="76">
        <f>EP!H108</f>
        <v>0</v>
      </c>
    </row>
    <row r="14" spans="1:14" ht="14.45" customHeight="1" x14ac:dyDescent="0.25">
      <c r="A14" s="64" t="s">
        <v>124</v>
      </c>
      <c r="B14" s="66">
        <f>AF!D55</f>
        <v>0</v>
      </c>
      <c r="C14" s="66">
        <f>AF!E55</f>
        <v>0</v>
      </c>
      <c r="D14" s="66">
        <f>AF!F55</f>
        <v>0</v>
      </c>
      <c r="E14" s="66">
        <f>AF!G55</f>
        <v>0</v>
      </c>
      <c r="F14" s="66">
        <f>AF!H55</f>
        <v>0</v>
      </c>
      <c r="G14" s="66">
        <f>EP!C138</f>
        <v>0</v>
      </c>
      <c r="H14" s="66">
        <f>EP!D138</f>
        <v>0</v>
      </c>
      <c r="I14" s="66">
        <f>EP!E138</f>
        <v>0</v>
      </c>
      <c r="J14" s="66">
        <f>EP!F138</f>
        <v>0</v>
      </c>
      <c r="K14" s="66">
        <f>EP!G138</f>
        <v>0</v>
      </c>
      <c r="L14" s="66">
        <f>EP!H138</f>
        <v>0</v>
      </c>
    </row>
    <row r="15" spans="1:14" ht="14.45" customHeight="1" x14ac:dyDescent="0.25">
      <c r="A15" s="75" t="s">
        <v>81</v>
      </c>
      <c r="B15" s="76">
        <f>AF!D68</f>
        <v>0</v>
      </c>
      <c r="C15" s="76">
        <f>AF!E68</f>
        <v>0</v>
      </c>
      <c r="D15" s="76">
        <f>AF!F68</f>
        <v>0</v>
      </c>
      <c r="E15" s="76">
        <f>AF!G68</f>
        <v>0</v>
      </c>
      <c r="F15" s="76">
        <f>AF!H68</f>
        <v>0</v>
      </c>
      <c r="G15" s="76">
        <f>EP!C144</f>
        <v>0</v>
      </c>
      <c r="H15" s="76">
        <f>EP!D144</f>
        <v>0</v>
      </c>
      <c r="I15" s="76">
        <f>EP!E144</f>
        <v>0</v>
      </c>
      <c r="J15" s="76">
        <f>EP!F144</f>
        <v>0</v>
      </c>
      <c r="K15" s="76">
        <f>EP!G144</f>
        <v>0</v>
      </c>
      <c r="L15" s="76">
        <f>EP!H144</f>
        <v>0</v>
      </c>
    </row>
    <row r="16" spans="1:14" ht="4.5" customHeight="1" x14ac:dyDescent="0.25">
      <c r="A16" s="337"/>
      <c r="B16" s="337"/>
      <c r="C16" s="337"/>
      <c r="D16" s="337"/>
      <c r="E16" s="337"/>
      <c r="F16" s="337"/>
      <c r="G16" s="202"/>
      <c r="H16" s="202"/>
      <c r="I16" s="202"/>
      <c r="J16" s="202"/>
      <c r="K16" s="202"/>
      <c r="L16" s="202"/>
    </row>
    <row r="17" spans="1:18" ht="14.45" customHeight="1" x14ac:dyDescent="0.25">
      <c r="A17" s="64" t="s">
        <v>60</v>
      </c>
      <c r="B17" s="77">
        <f>AF!D37</f>
        <v>0</v>
      </c>
      <c r="C17" s="77">
        <f>AF!E37</f>
        <v>0</v>
      </c>
      <c r="D17" s="77">
        <f>AF!F37</f>
        <v>0</v>
      </c>
      <c r="E17" s="77">
        <f>AF!G37</f>
        <v>0</v>
      </c>
      <c r="F17" s="77">
        <f>AF!H37</f>
        <v>0</v>
      </c>
      <c r="G17" s="77">
        <f>EP!C126</f>
        <v>0</v>
      </c>
      <c r="H17" s="77">
        <f>EP!D126</f>
        <v>0</v>
      </c>
      <c r="I17" s="77">
        <f>EP!E126</f>
        <v>0</v>
      </c>
      <c r="J17" s="77">
        <f>EP!F126</f>
        <v>0</v>
      </c>
      <c r="K17" s="77">
        <f>EP!G126</f>
        <v>0</v>
      </c>
      <c r="L17" s="77">
        <f>EP!H126</f>
        <v>0</v>
      </c>
    </row>
    <row r="18" spans="1:18" ht="14.45" customHeight="1" x14ac:dyDescent="0.25">
      <c r="A18" s="64" t="s">
        <v>66</v>
      </c>
      <c r="B18" s="78">
        <f>AF!D43</f>
        <v>0</v>
      </c>
      <c r="C18" s="78">
        <f>AF!E43</f>
        <v>0</v>
      </c>
      <c r="D18" s="78">
        <f>AF!F43</f>
        <v>0</v>
      </c>
      <c r="E18" s="78">
        <f>AF!G43</f>
        <v>0</v>
      </c>
      <c r="F18" s="78">
        <f>AF!H43</f>
        <v>0</v>
      </c>
      <c r="G18" s="78">
        <f>EP!C132</f>
        <v>0</v>
      </c>
      <c r="H18" s="78">
        <f>EP!D132</f>
        <v>0</v>
      </c>
      <c r="I18" s="78">
        <f>EP!E132</f>
        <v>0</v>
      </c>
      <c r="J18" s="78">
        <f>EP!F132</f>
        <v>0</v>
      </c>
      <c r="K18" s="78">
        <f>EP!G132</f>
        <v>0</v>
      </c>
      <c r="L18" s="78">
        <f>EP!H132</f>
        <v>0</v>
      </c>
    </row>
    <row r="19" spans="1:18" ht="4.5" customHeight="1" thickBot="1" x14ac:dyDescent="0.3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8" ht="15" customHeight="1" thickBot="1" x14ac:dyDescent="0.3">
      <c r="A20" s="97" t="s">
        <v>175</v>
      </c>
      <c r="B20" s="42"/>
      <c r="C20" s="165" t="str">
        <f>B3&amp;-F3</f>
        <v>00</v>
      </c>
      <c r="D20" s="338">
        <f>TBAF!H15</f>
        <v>0</v>
      </c>
      <c r="E20" s="339"/>
      <c r="F20" s="42"/>
      <c r="G20" s="165" t="str">
        <f>G3&amp;-L3</f>
        <v>1-6</v>
      </c>
      <c r="H20" s="338">
        <f>AVERAGE(G8:L8)*30</f>
        <v>0</v>
      </c>
      <c r="I20" s="339"/>
      <c r="J20" s="42"/>
      <c r="K20" s="42"/>
      <c r="L20" s="42"/>
    </row>
    <row r="21" spans="1:18" x14ac:dyDescent="0.25">
      <c r="A21" s="42"/>
    </row>
    <row r="29" spans="1:18" ht="13.5" customHeight="1" x14ac:dyDescent="0.25">
      <c r="Q29" s="63"/>
      <c r="R29" s="63"/>
    </row>
    <row r="30" spans="1:18" ht="13.5" customHeight="1" x14ac:dyDescent="0.25">
      <c r="Q30" s="63"/>
      <c r="R30" s="63"/>
    </row>
    <row r="31" spans="1:18" ht="13.5" customHeight="1" x14ac:dyDescent="0.25">
      <c r="Q31" s="63"/>
      <c r="R31" s="63"/>
    </row>
    <row r="32" spans="1:18" ht="13.5" customHeight="1" x14ac:dyDescent="0.25">
      <c r="Q32" s="63"/>
      <c r="R32" s="63"/>
    </row>
    <row r="33" spans="17:18" ht="13.5" customHeight="1" x14ac:dyDescent="0.25">
      <c r="Q33" s="63"/>
      <c r="R33" s="63"/>
    </row>
    <row r="34" spans="17:18" ht="13.5" customHeight="1" x14ac:dyDescent="0.25">
      <c r="Q34" s="63"/>
      <c r="R34" s="63"/>
    </row>
  </sheetData>
  <sheetProtection algorithmName="SHA-512" hashValue="NOKyb4LvxUaUxUh4kgJlOfAsiySGsmSCdRmcPRfgeCw+F1shb53RSabMZZE3wN66fI5n8pZtz8Xz7dCCoi9JkA==" saltValue="7lELDFCzr5sqh7XOK3D5Mw==" spinCount="100000" sheet="1" objects="1" scenarios="1"/>
  <customSheetViews>
    <customSheetView guid="{8FA47B43-BA6D-4089-B9C0-4EA64D53BE1E}" showPageBreaks="1" view="pageLayout">
      <selection activeCell="A10" sqref="A10"/>
      <pageMargins left="0.25" right="0.25" top="0.75" bottom="0.75" header="0.3" footer="0.3"/>
      <pageSetup paperSize="9" orientation="landscape" r:id="rId1"/>
      <headerFooter>
        <oddHeader>&amp;LV1.0&amp;CTableau de bord de l'évaluation prospective&amp;R&amp;D</oddHeader>
        <oddFooter>&amp;L&amp;8Fichier d'analyse réalisé par l'UCV
conseils@ucv.ch&amp;C&amp;G</oddFooter>
      </headerFooter>
    </customSheetView>
  </customSheetViews>
  <mergeCells count="4">
    <mergeCell ref="A16:F16"/>
    <mergeCell ref="D20:E20"/>
    <mergeCell ref="H20:I20"/>
    <mergeCell ref="C1:L1"/>
  </mergeCells>
  <conditionalFormatting sqref="B17:F17">
    <cfRule type="cellIs" dxfId="36" priority="14" operator="lessThan">
      <formula>2</formula>
    </cfRule>
    <cfRule type="cellIs" dxfId="35" priority="15" operator="between">
      <formula>2</formula>
      <formula>2.5</formula>
    </cfRule>
    <cfRule type="cellIs" dxfId="34" priority="16" operator="greaterThan">
      <formula>2.5</formula>
    </cfRule>
  </conditionalFormatting>
  <conditionalFormatting sqref="B18:F18">
    <cfRule type="cellIs" dxfId="33" priority="11" operator="lessThan">
      <formula>25</formula>
    </cfRule>
    <cfRule type="cellIs" dxfId="32" priority="12" operator="between">
      <formula>25</formula>
      <formula>30</formula>
    </cfRule>
    <cfRule type="cellIs" dxfId="31" priority="13" operator="greaterThan">
      <formula>30</formula>
    </cfRule>
  </conditionalFormatting>
  <conditionalFormatting sqref="G17:L17">
    <cfRule type="cellIs" dxfId="30" priority="5" operator="lessThan">
      <formula>2</formula>
    </cfRule>
    <cfRule type="cellIs" dxfId="29" priority="6" operator="between">
      <formula>2</formula>
      <formula>2.5</formula>
    </cfRule>
    <cfRule type="cellIs" dxfId="28" priority="7" operator="greaterThan">
      <formula>2.5</formula>
    </cfRule>
  </conditionalFormatting>
  <conditionalFormatting sqref="G18:L18">
    <cfRule type="cellIs" dxfId="27" priority="1" operator="lessThan">
      <formula>25</formula>
    </cfRule>
    <cfRule type="cellIs" dxfId="26" priority="2" operator="between">
      <formula>25</formula>
      <formula>30</formula>
    </cfRule>
    <cfRule type="cellIs" dxfId="25" priority="3" operator="equal">
      <formula>"Impossible"</formula>
    </cfRule>
    <cfRule type="cellIs" dxfId="24" priority="4" operator="greaterThan">
      <formula>30</formula>
    </cfRule>
  </conditionalFormatting>
  <pageMargins left="0.25" right="0.25" top="0.75" bottom="0.75" header="0.3" footer="0.3"/>
  <pageSetup paperSize="9" orientation="landscape" r:id="rId2"/>
  <headerFooter>
    <oddHeader>&amp;LV6.0&amp;CTableau de bord de l'évaluation prospective&amp;R&amp;D</oddHeader>
    <oddFooter>&amp;L&amp;8Fichier d'analyse réalisé par l'UCV
conseils@ucv.ch&amp;C&amp;G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1842-CFCC-4F5C-91D5-361B63393D51}">
  <sheetPr codeName="Feuil6">
    <tabColor theme="9" tint="0.59999389629810485"/>
  </sheetPr>
  <dimension ref="A1:L50"/>
  <sheetViews>
    <sheetView showGridLines="0" view="pageLayout" zoomScaleNormal="100" workbookViewId="0">
      <selection sqref="A1:C1"/>
    </sheetView>
  </sheetViews>
  <sheetFormatPr defaultColWidth="11" defaultRowHeight="13.5" x14ac:dyDescent="0.25"/>
  <cols>
    <col min="1" max="2" width="6.796875" customWidth="1"/>
    <col min="3" max="3" width="47" customWidth="1"/>
    <col min="4" max="9" width="13.796875" customWidth="1"/>
    <col min="10" max="10" width="1.19921875" customWidth="1"/>
    <col min="11" max="12" width="15.3984375" customWidth="1"/>
  </cols>
  <sheetData>
    <row r="1" spans="1:11" ht="16.5" x14ac:dyDescent="0.3">
      <c r="A1" s="354" t="s">
        <v>240</v>
      </c>
      <c r="B1" s="354"/>
      <c r="C1" s="354"/>
      <c r="D1" s="259">
        <f>Données!D1</f>
        <v>0</v>
      </c>
      <c r="E1" s="259"/>
      <c r="F1" s="259"/>
      <c r="G1" s="259"/>
      <c r="H1" s="259"/>
      <c r="I1" s="169"/>
      <c r="J1" s="169"/>
      <c r="K1" s="169"/>
    </row>
    <row r="2" spans="1:11" ht="17.25" thickBot="1" x14ac:dyDescent="0.35">
      <c r="A2" s="1"/>
    </row>
    <row r="3" spans="1:11" ht="17.100000000000001" customHeight="1" x14ac:dyDescent="0.25">
      <c r="A3" s="44" t="s">
        <v>241</v>
      </c>
      <c r="B3" s="170"/>
      <c r="C3" s="46"/>
      <c r="D3" s="47"/>
      <c r="E3" s="47"/>
      <c r="F3" s="47"/>
      <c r="G3" s="47"/>
      <c r="H3" s="47"/>
      <c r="I3" s="47"/>
      <c r="J3" s="47"/>
      <c r="K3" s="48"/>
    </row>
    <row r="4" spans="1:11" ht="4.5" customHeight="1" x14ac:dyDescent="0.25">
      <c r="A4" s="154"/>
      <c r="D4" s="2"/>
      <c r="E4" s="2"/>
      <c r="F4" s="2"/>
      <c r="G4" s="2"/>
      <c r="H4" s="2"/>
      <c r="I4" s="2"/>
      <c r="K4" s="41"/>
    </row>
    <row r="5" spans="1:11" ht="17.100000000000001" customHeight="1" x14ac:dyDescent="0.25">
      <c r="A5" s="151" t="s">
        <v>245</v>
      </c>
      <c r="B5" s="154"/>
      <c r="D5" s="2"/>
      <c r="E5" s="2"/>
      <c r="F5" s="2"/>
      <c r="G5" s="2"/>
      <c r="H5" s="2"/>
      <c r="I5" s="2"/>
      <c r="K5" s="41"/>
    </row>
    <row r="6" spans="1:11" ht="17.100000000000001" customHeight="1" x14ac:dyDescent="0.25">
      <c r="A6" s="355" t="s">
        <v>243</v>
      </c>
      <c r="B6" s="267" t="s">
        <v>242</v>
      </c>
      <c r="C6" s="65" t="s">
        <v>28</v>
      </c>
      <c r="D6" s="12">
        <f>Données!C3</f>
        <v>0</v>
      </c>
      <c r="E6" s="12">
        <f>Données!D3</f>
        <v>0</v>
      </c>
      <c r="F6" s="12">
        <f>Données!E3</f>
        <v>0</v>
      </c>
      <c r="G6" s="12">
        <f>Données!F3</f>
        <v>0</v>
      </c>
      <c r="H6" s="12">
        <f>Données!G3</f>
        <v>0</v>
      </c>
      <c r="I6" s="203"/>
      <c r="J6" s="42"/>
      <c r="K6" s="137" t="s">
        <v>82</v>
      </c>
    </row>
    <row r="7" spans="1:11" ht="17.100000000000001" customHeight="1" x14ac:dyDescent="0.25">
      <c r="A7" s="356"/>
      <c r="B7" s="268"/>
      <c r="C7" s="64" t="s">
        <v>263</v>
      </c>
      <c r="D7" s="66">
        <f>D38</f>
        <v>0</v>
      </c>
      <c r="E7" s="66">
        <f t="shared" ref="E7:H7" si="0">E38</f>
        <v>0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201"/>
      <c r="J7" s="42"/>
      <c r="K7" s="204">
        <f>AVERAGE(D7:H7)</f>
        <v>0</v>
      </c>
    </row>
    <row r="8" spans="1:11" ht="17.100000000000001" customHeight="1" x14ac:dyDescent="0.25">
      <c r="A8" s="356"/>
      <c r="B8" s="268"/>
      <c r="C8" s="64" t="s">
        <v>98</v>
      </c>
      <c r="D8" s="66">
        <f>AF!D26</f>
        <v>0</v>
      </c>
      <c r="E8" s="66">
        <f>AF!E26</f>
        <v>0</v>
      </c>
      <c r="F8" s="66">
        <f>AF!F26</f>
        <v>0</v>
      </c>
      <c r="G8" s="66">
        <f>AF!G26</f>
        <v>0</v>
      </c>
      <c r="H8" s="66">
        <f>AF!H26</f>
        <v>0</v>
      </c>
      <c r="I8" s="201"/>
      <c r="J8" s="42"/>
      <c r="K8" s="204">
        <f>AVERAGE(D8:H8)</f>
        <v>0</v>
      </c>
    </row>
    <row r="9" spans="1:11" ht="17.100000000000001" customHeight="1" x14ac:dyDescent="0.25">
      <c r="A9" s="357"/>
      <c r="B9" s="269"/>
      <c r="C9" s="205" t="s">
        <v>72</v>
      </c>
      <c r="D9" s="206">
        <f>IF(D7&lt;=0,0,D7/D8)</f>
        <v>0</v>
      </c>
      <c r="E9" s="206">
        <f t="shared" ref="E9:H9" si="1">IF(E7&lt;=0,0,E7/E8)</f>
        <v>0</v>
      </c>
      <c r="F9" s="206">
        <f t="shared" si="1"/>
        <v>0</v>
      </c>
      <c r="G9" s="206">
        <f t="shared" si="1"/>
        <v>0</v>
      </c>
      <c r="H9" s="206">
        <f t="shared" si="1"/>
        <v>0</v>
      </c>
      <c r="I9" s="207"/>
      <c r="J9" s="42"/>
      <c r="K9" s="208">
        <f t="shared" ref="K9" si="2">IF(K7&lt;=0,0,K7/K8)</f>
        <v>0</v>
      </c>
    </row>
    <row r="10" spans="1:11" ht="17.100000000000001" customHeight="1" x14ac:dyDescent="0.25">
      <c r="A10" s="154"/>
      <c r="C10" s="42"/>
      <c r="D10" s="201"/>
      <c r="E10" s="201"/>
      <c r="F10" s="201"/>
      <c r="G10" s="201"/>
      <c r="H10" s="201"/>
      <c r="I10" s="201"/>
      <c r="J10" s="42"/>
      <c r="K10" s="209"/>
    </row>
    <row r="11" spans="1:11" ht="17.100000000000001" customHeight="1" x14ac:dyDescent="0.25">
      <c r="A11" s="151" t="s">
        <v>246</v>
      </c>
      <c r="B11" s="154"/>
      <c r="C11" s="42"/>
      <c r="D11" s="201"/>
      <c r="E11" s="201"/>
      <c r="F11" s="201"/>
      <c r="G11" s="201"/>
      <c r="H11" s="201"/>
      <c r="I11" s="201"/>
      <c r="J11" s="42"/>
      <c r="K11" s="209"/>
    </row>
    <row r="12" spans="1:11" ht="17.100000000000001" customHeight="1" x14ac:dyDescent="0.25">
      <c r="A12" s="355" t="s">
        <v>243</v>
      </c>
      <c r="B12" s="267" t="s">
        <v>244</v>
      </c>
      <c r="C12" s="65" t="s">
        <v>28</v>
      </c>
      <c r="D12" s="12">
        <f t="shared" ref="D12:H12" si="3">D6</f>
        <v>0</v>
      </c>
      <c r="E12" s="12">
        <f t="shared" si="3"/>
        <v>0</v>
      </c>
      <c r="F12" s="12">
        <f t="shared" si="3"/>
        <v>0</v>
      </c>
      <c r="G12" s="12">
        <f>G6</f>
        <v>0</v>
      </c>
      <c r="H12" s="12">
        <f t="shared" si="3"/>
        <v>0</v>
      </c>
      <c r="I12" s="203"/>
      <c r="J12" s="42"/>
      <c r="K12" s="137" t="str">
        <f>K6</f>
        <v>Moyenne</v>
      </c>
    </row>
    <row r="13" spans="1:11" ht="17.100000000000001" customHeight="1" x14ac:dyDescent="0.25">
      <c r="A13" s="356"/>
      <c r="B13" s="268"/>
      <c r="C13" s="64" t="s">
        <v>262</v>
      </c>
      <c r="D13" s="66">
        <f>D50</f>
        <v>0</v>
      </c>
      <c r="E13" s="66">
        <f t="shared" ref="E13:H13" si="4">E50</f>
        <v>0</v>
      </c>
      <c r="F13" s="66">
        <f t="shared" si="4"/>
        <v>0</v>
      </c>
      <c r="G13" s="66">
        <f t="shared" si="4"/>
        <v>0</v>
      </c>
      <c r="H13" s="66">
        <f t="shared" si="4"/>
        <v>0</v>
      </c>
      <c r="I13" s="201"/>
      <c r="J13" s="42"/>
      <c r="K13" s="204">
        <f>AVERAGE(D13:H13)</f>
        <v>0</v>
      </c>
    </row>
    <row r="14" spans="1:11" ht="17.100000000000001" customHeight="1" x14ac:dyDescent="0.25">
      <c r="A14" s="356"/>
      <c r="B14" s="268"/>
      <c r="C14" s="64" t="s">
        <v>247</v>
      </c>
      <c r="D14" s="66">
        <f>Données!C22+Données!C25+Données!C28+Données!C29+Données!C31</f>
        <v>0</v>
      </c>
      <c r="E14" s="66">
        <f>Données!D22+Données!D25+Données!D28+Données!D29+Données!D31</f>
        <v>0</v>
      </c>
      <c r="F14" s="66">
        <f>Données!E22+Données!E25+Données!E28+Données!E29+Données!E31</f>
        <v>0</v>
      </c>
      <c r="G14" s="66">
        <f>Données!F22+Données!F25+Données!F28+Données!F29+Données!F31</f>
        <v>0</v>
      </c>
      <c r="H14" s="66">
        <f>Données!G22+Données!G25+Données!G28+Données!G29+Données!G31</f>
        <v>0</v>
      </c>
      <c r="I14" s="201"/>
      <c r="J14" s="42"/>
      <c r="K14" s="204">
        <f>AVERAGE(D14:H14)</f>
        <v>0</v>
      </c>
    </row>
    <row r="15" spans="1:11" ht="17.100000000000001" customHeight="1" x14ac:dyDescent="0.25">
      <c r="A15" s="357"/>
      <c r="B15" s="269"/>
      <c r="C15" s="205" t="s">
        <v>72</v>
      </c>
      <c r="D15" s="206">
        <f>IF(D13&lt;=0,0,IF(D14&lt;=0,"Impossible",D13/D14))</f>
        <v>0</v>
      </c>
      <c r="E15" s="206">
        <f t="shared" ref="E15:H15" si="5">IF(E13&lt;=0,0,IF(E14&lt;=0,"Impossible",E13/E14))</f>
        <v>0</v>
      </c>
      <c r="F15" s="206">
        <f t="shared" si="5"/>
        <v>0</v>
      </c>
      <c r="G15" s="206">
        <f t="shared" si="5"/>
        <v>0</v>
      </c>
      <c r="H15" s="206">
        <f t="shared" si="5"/>
        <v>0</v>
      </c>
      <c r="I15" s="201"/>
      <c r="J15" s="42"/>
      <c r="K15" s="208">
        <f t="shared" ref="K15" si="6">IF(K13&lt;=0,0,IF(K14&lt;=0,"Impossible",K13/K14))</f>
        <v>0</v>
      </c>
    </row>
    <row r="16" spans="1:11" ht="16.5" customHeight="1" thickBot="1" x14ac:dyDescent="0.3">
      <c r="A16" s="34"/>
      <c r="B16" s="35"/>
      <c r="C16" s="210"/>
      <c r="D16" s="210"/>
      <c r="E16" s="210"/>
      <c r="F16" s="210"/>
      <c r="G16" s="210"/>
      <c r="H16" s="210"/>
      <c r="I16" s="210"/>
      <c r="J16" s="210"/>
      <c r="K16" s="211"/>
    </row>
    <row r="17" spans="1:11" ht="14.1" customHeight="1" thickBot="1" x14ac:dyDescent="0.3">
      <c r="C17" s="42"/>
      <c r="D17" s="42"/>
      <c r="E17" s="42"/>
      <c r="F17" s="42"/>
      <c r="G17" s="42"/>
      <c r="H17" s="42"/>
      <c r="I17" s="42"/>
      <c r="J17" s="42"/>
      <c r="K17" s="42"/>
    </row>
    <row r="18" spans="1:11" ht="17.100000000000001" customHeight="1" x14ac:dyDescent="0.25">
      <c r="A18" s="44" t="s">
        <v>342</v>
      </c>
      <c r="B18" s="45"/>
      <c r="C18" s="257" t="str">
        <f>D21&amp;-I21</f>
        <v>1-6</v>
      </c>
      <c r="D18" s="212"/>
      <c r="E18" s="212"/>
      <c r="F18" s="212"/>
      <c r="G18" s="212"/>
      <c r="H18" s="212"/>
      <c r="I18" s="212"/>
      <c r="J18" s="212"/>
      <c r="K18" s="213"/>
    </row>
    <row r="19" spans="1:11" ht="4.5" customHeight="1" x14ac:dyDescent="0.25">
      <c r="A19" s="154"/>
      <c r="B19" s="3"/>
      <c r="C19" s="42"/>
      <c r="D19" s="201"/>
      <c r="E19" s="201"/>
      <c r="F19" s="201"/>
      <c r="G19" s="201"/>
      <c r="H19" s="201"/>
      <c r="I19" s="201"/>
      <c r="J19" s="42"/>
      <c r="K19" s="209"/>
    </row>
    <row r="20" spans="1:11" ht="17.100000000000001" customHeight="1" x14ac:dyDescent="0.25">
      <c r="A20" s="151" t="s">
        <v>245</v>
      </c>
      <c r="B20" s="3"/>
      <c r="C20" s="42"/>
      <c r="D20" s="201"/>
      <c r="E20" s="201"/>
      <c r="F20" s="201"/>
      <c r="G20" s="201"/>
      <c r="H20" s="201"/>
      <c r="I20" s="201"/>
      <c r="J20" s="42"/>
      <c r="K20" s="209"/>
    </row>
    <row r="21" spans="1:11" ht="16.350000000000001" customHeight="1" x14ac:dyDescent="0.25">
      <c r="A21" s="351" t="s">
        <v>243</v>
      </c>
      <c r="B21" s="267" t="s">
        <v>242</v>
      </c>
      <c r="C21" s="214" t="s">
        <v>28</v>
      </c>
      <c r="D21" s="71">
        <f>TBEP!G3</f>
        <v>1</v>
      </c>
      <c r="E21" s="71">
        <f>TBEP!H3</f>
        <v>2</v>
      </c>
      <c r="F21" s="71">
        <f>TBEP!I3</f>
        <v>3</v>
      </c>
      <c r="G21" s="71">
        <f>TBEP!J3</f>
        <v>4</v>
      </c>
      <c r="H21" s="71">
        <f>TBEP!K3</f>
        <v>5</v>
      </c>
      <c r="I21" s="71">
        <f>TBEP!L3</f>
        <v>6</v>
      </c>
      <c r="J21" s="42"/>
      <c r="K21" s="171" t="str">
        <f>K12</f>
        <v>Moyenne</v>
      </c>
    </row>
    <row r="22" spans="1:11" ht="16.350000000000001" customHeight="1" x14ac:dyDescent="0.25">
      <c r="A22" s="352"/>
      <c r="B22" s="268"/>
      <c r="C22" s="215" t="s">
        <v>263</v>
      </c>
      <c r="D22" s="66">
        <f>H38+IF(AND(EP!$J$8="OUI",EP!$J$10="OUI"),EP!C6,0)+IF(AND(EP!$J$15="OUI",EP!$J$17="OUI"),EP!C13,0)+IF(AND(EP!$J$22="OUI",EP!$J$24="OUI"),EP!C20,0)-(FLOOR(EP!C104,10000))</f>
        <v>0</v>
      </c>
      <c r="E22" s="66">
        <f>D22+IF(AND(EP!$J$8="OUI",EP!$J$10="OUI"),EP!D6,0)+IF(AND(EP!$J$15="OUI",EP!$J$17="OUI"),EP!D13,0)+IF(AND(EP!$J$22="OUI",EP!$J$24="OUI"),EP!D20,0)-(FLOOR(EP!D104,10000))</f>
        <v>0</v>
      </c>
      <c r="F22" s="66">
        <f>E22+IF(AND(EP!$I$8="OUI",EP!$I$10="OUI"),EP!E6,0)+IF(AND(EP!$I$15="OUI",EP!$I$17="OUI"),EP!E13,0)+IF(AND(EP!$I$22="OUI",EP!$I$24="OUI"),EP!E20,0)-(FLOOR(EP!E104,10000))</f>
        <v>0</v>
      </c>
      <c r="G22" s="66">
        <f>F22+IF(AND(EP!$I$8="OUI",EP!$I$10="OUI"),EP!F6,0)+IF(AND(EP!$I$15="OUI",EP!$I$17="OUI"),EP!F13,0)+IF(AND(EP!$I$22="OUI",EP!$I$24="OUI"),EP!F20,0)-(FLOOR(EP!F104,10000))</f>
        <v>0</v>
      </c>
      <c r="H22" s="66">
        <f>G22+IF(AND(EP!$I$8="OUI",EP!$I$10="OUI"),EP!G6,0)+IF(AND(EP!$I$15="OUI",EP!$I$17="OUI"),EP!G13,0)+IF(AND(EP!$I$22="OUI",EP!$I$24="OUI"),EP!G20,0)-(FLOOR(EP!G104,10000))</f>
        <v>0</v>
      </c>
      <c r="I22" s="66">
        <f>H22+IF(AND(EP!$I$8="OUI",EP!$I$10="OUI"),EP!H6,0)+IF(AND(EP!$I$15="OUI",EP!$I$17="OUI"),EP!H13,0)+IF(AND(EP!$I$22="OUI",EP!$I$24="OUI"),EP!H20,0)-(FLOOR(EP!H104,10000))</f>
        <v>0</v>
      </c>
      <c r="J22" s="42"/>
      <c r="K22" s="204">
        <f>AVERAGE(D22:H22)</f>
        <v>0</v>
      </c>
    </row>
    <row r="23" spans="1:11" ht="16.350000000000001" customHeight="1" x14ac:dyDescent="0.25">
      <c r="A23" s="352"/>
      <c r="B23" s="268"/>
      <c r="C23" s="215" t="s">
        <v>98</v>
      </c>
      <c r="D23" s="66">
        <f>TBEP!G5</f>
        <v>0</v>
      </c>
      <c r="E23" s="66">
        <f>TBEP!H5</f>
        <v>0</v>
      </c>
      <c r="F23" s="66">
        <f>TBEP!I5</f>
        <v>0</v>
      </c>
      <c r="G23" s="66">
        <f>TBEP!J5</f>
        <v>0</v>
      </c>
      <c r="H23" s="66">
        <f>TBEP!K5</f>
        <v>0</v>
      </c>
      <c r="I23" s="66">
        <f>TBEP!L5</f>
        <v>0</v>
      </c>
      <c r="J23" s="42"/>
      <c r="K23" s="204">
        <f>AVERAGE(D23:H23)</f>
        <v>0</v>
      </c>
    </row>
    <row r="24" spans="1:11" ht="16.350000000000001" customHeight="1" x14ac:dyDescent="0.25">
      <c r="A24" s="353"/>
      <c r="B24" s="269"/>
      <c r="C24" s="216" t="s">
        <v>72</v>
      </c>
      <c r="D24" s="206">
        <f>IF(D22&lt;=0,0,D22/D23)</f>
        <v>0</v>
      </c>
      <c r="E24" s="206">
        <f t="shared" ref="E24" si="7">IF(E22&lt;=0,0,E22/E23)</f>
        <v>0</v>
      </c>
      <c r="F24" s="206">
        <f t="shared" ref="F24" si="8">IF(F22&lt;=0,0,F22/F23)</f>
        <v>0</v>
      </c>
      <c r="G24" s="206">
        <f t="shared" ref="G24" si="9">IF(G22&lt;=0,0,G22/G23)</f>
        <v>0</v>
      </c>
      <c r="H24" s="206">
        <f>IF(H22&lt;=0,0,H22/H23)</f>
        <v>0</v>
      </c>
      <c r="I24" s="206">
        <f>IF(I22&lt;=0,0,I22/I23)</f>
        <v>0</v>
      </c>
      <c r="J24" s="42"/>
      <c r="K24" s="208">
        <f>IF(K22&lt;=0,0,K22/K23)</f>
        <v>0</v>
      </c>
    </row>
    <row r="25" spans="1:11" x14ac:dyDescent="0.25">
      <c r="A25" s="154"/>
      <c r="B25" s="3"/>
      <c r="C25" s="42"/>
      <c r="D25" s="201"/>
      <c r="E25" s="201"/>
      <c r="F25" s="201"/>
      <c r="G25" s="201"/>
      <c r="H25" s="201"/>
      <c r="I25" s="201"/>
      <c r="J25" s="42"/>
      <c r="K25" s="209"/>
    </row>
    <row r="26" spans="1:11" x14ac:dyDescent="0.25">
      <c r="A26" s="151" t="s">
        <v>246</v>
      </c>
      <c r="B26" s="3"/>
      <c r="C26" s="42"/>
      <c r="D26" s="201"/>
      <c r="E26" s="201"/>
      <c r="F26" s="201"/>
      <c r="G26" s="201"/>
      <c r="H26" s="201"/>
      <c r="I26" s="201"/>
      <c r="J26" s="42"/>
      <c r="K26" s="209"/>
    </row>
    <row r="27" spans="1:11" ht="16.350000000000001" customHeight="1" x14ac:dyDescent="0.25">
      <c r="A27" s="351" t="s">
        <v>243</v>
      </c>
      <c r="B27" s="267" t="s">
        <v>244</v>
      </c>
      <c r="C27" s="214" t="s">
        <v>28</v>
      </c>
      <c r="D27" s="71">
        <f t="shared" ref="D27:H27" si="10">D21</f>
        <v>1</v>
      </c>
      <c r="E27" s="71">
        <f t="shared" si="10"/>
        <v>2</v>
      </c>
      <c r="F27" s="71">
        <f t="shared" si="10"/>
        <v>3</v>
      </c>
      <c r="G27" s="71">
        <f t="shared" si="10"/>
        <v>4</v>
      </c>
      <c r="H27" s="71">
        <f t="shared" si="10"/>
        <v>5</v>
      </c>
      <c r="I27" s="71">
        <f t="shared" ref="I27" si="11">I21</f>
        <v>6</v>
      </c>
      <c r="J27" s="42"/>
      <c r="K27" s="171" t="str">
        <f>K21</f>
        <v>Moyenne</v>
      </c>
    </row>
    <row r="28" spans="1:11" ht="16.350000000000001" customHeight="1" x14ac:dyDescent="0.25">
      <c r="A28" s="352"/>
      <c r="B28" s="268"/>
      <c r="C28" s="215" t="s">
        <v>262</v>
      </c>
      <c r="D28" s="66">
        <f>H50+IF(AND(EP!$J$8="OUI",EP!$J$10="OUI"),EP!C6,0)+IF(AND(EP!$J$15="OUI",EP!$J$17="OUI"),EP!C13,0)+IF(AND(EP!$J$22="OUI",EP!$J$24="OUI"),EP!C20,0)-(FLOOR(EP!C104,10000))</f>
        <v>0</v>
      </c>
      <c r="E28" s="66">
        <f>D28+IF(AND(EP!$J$8="OUI",EP!$J$10="OUI"),EP!D6,0)+IF(AND(EP!$J$15="OUI",EP!$J$17="OUI"),EP!D13,0)+IF(AND(EP!$J$22="OUI",EP!$J$24="OUI"),EP!D20,0)-(FLOOR(EP!D104,10000))</f>
        <v>0</v>
      </c>
      <c r="F28" s="66">
        <f>E28+IF(AND(EP!$J$8="OUI",EP!$J$10="OUI"),EP!E6,0)+IF(AND(EP!$J$15="OUI",EP!$J$17="OUI"),EP!E13,0)+IF(AND(EP!$J$22="OUI",EP!$J$24="OUI"),EP!E20,0)-(FLOOR(EP!E104,10000))</f>
        <v>0</v>
      </c>
      <c r="G28" s="66">
        <f>F28+IF(AND(EP!$J$8="OUI",EP!$J$10="OUI"),EP!F6,0)+IF(AND(EP!$J$15="OUI",EP!$J$17="OUI"),EP!F13,0)+IF(AND(EP!$J$22="OUI",EP!$J$24="OUI"),EP!F20,0)-(FLOOR(EP!F104,10000))</f>
        <v>0</v>
      </c>
      <c r="H28" s="66">
        <f>G28+IF(AND(EP!$J$8="OUI",EP!$J$10="OUI"),EP!G6,0)+IF(AND(EP!$J$15="OUI",EP!$J$17="OUI"),EP!G13,0)+IF(AND(EP!$J$22="OUI",EP!$J$24="OUI"),EP!G20,0)-(FLOOR(EP!G104,10000))</f>
        <v>0</v>
      </c>
      <c r="I28" s="66">
        <f>H28+IF(AND(EP!$J$8="OUI",EP!$J$10="OUI"),EP!H6,0)+IF(AND(EP!$J$15="OUI",EP!$J$17="OUI"),EP!H13,0)+IF(AND(EP!$J$22="OUI",EP!$J$24="OUI"),EP!H20,0)-(FLOOR(EP!H104,10000))</f>
        <v>0</v>
      </c>
      <c r="J28" s="42"/>
      <c r="K28" s="204">
        <f>AVERAGE(D28:H28)</f>
        <v>0</v>
      </c>
    </row>
    <row r="29" spans="1:11" ht="16.350000000000001" customHeight="1" x14ac:dyDescent="0.25">
      <c r="A29" s="352"/>
      <c r="B29" s="268"/>
      <c r="C29" s="215" t="s">
        <v>247</v>
      </c>
      <c r="D29" s="66" t="e">
        <f>EP!C64+EP!C70+EP!C73+(Données!$G$31*(1+Données!$J$31))</f>
        <v>#VALUE!</v>
      </c>
      <c r="E29" s="66" t="e">
        <f>EP!D64+EP!D70+EP!D73+(Données!$G$31*((1+Données!$J$31)^2))</f>
        <v>#VALUE!</v>
      </c>
      <c r="F29" s="66" t="e">
        <f>EP!E64+EP!E70+EP!E73+(Données!$G$31*((1+Données!$J$31)^3))</f>
        <v>#VALUE!</v>
      </c>
      <c r="G29" s="66" t="e">
        <f>EP!F64+EP!F70+EP!F73+(Données!$G$31*((1+Données!$J$31)^4))</f>
        <v>#VALUE!</v>
      </c>
      <c r="H29" s="66" t="e">
        <f>EP!G64+EP!G70+EP!G73+(Données!$G$31*((1+Données!$J$31)^5))</f>
        <v>#VALUE!</v>
      </c>
      <c r="I29" s="66" t="e">
        <f>EP!H64+EP!H70+EP!H73+(Données!$G$31*((1+Données!$J$31)^6))</f>
        <v>#VALUE!</v>
      </c>
      <c r="J29" s="42"/>
      <c r="K29" s="204" t="e">
        <f>AVERAGE(D29:H29)</f>
        <v>#VALUE!</v>
      </c>
    </row>
    <row r="30" spans="1:11" ht="16.350000000000001" customHeight="1" x14ac:dyDescent="0.25">
      <c r="A30" s="353"/>
      <c r="B30" s="269"/>
      <c r="C30" s="216" t="s">
        <v>72</v>
      </c>
      <c r="D30" s="206">
        <f t="shared" ref="D30:E30" si="12">IF(D28&lt;=0,0,IF(D29&lt;=0,"Impossible",D28/D29))</f>
        <v>0</v>
      </c>
      <c r="E30" s="206">
        <f t="shared" si="12"/>
        <v>0</v>
      </c>
      <c r="F30" s="206">
        <f t="shared" ref="F30" si="13">IF(F28&lt;=0,0,IF(F29&lt;=0,"Impossible",F28/F29))</f>
        <v>0</v>
      </c>
      <c r="G30" s="206">
        <f t="shared" ref="G30" si="14">IF(G28&lt;=0,0,IF(G29&lt;=0,"Impossible",G28/G29))</f>
        <v>0</v>
      </c>
      <c r="H30" s="206">
        <f>IF(H28&lt;=0,0,IF(H29&lt;=0,"Impossible",H28/H29))</f>
        <v>0</v>
      </c>
      <c r="I30" s="206">
        <f>IF(I28&lt;=0,0,IF(I29&lt;=0,"Impossible",I28/I29))</f>
        <v>0</v>
      </c>
      <c r="J30" s="42"/>
      <c r="K30" s="208">
        <f>IF(K28&lt;=0,0,IF(K29&lt;=0,"Impossible",K28/K29))</f>
        <v>0</v>
      </c>
    </row>
    <row r="31" spans="1:11" ht="16.350000000000001" customHeight="1" thickBot="1" x14ac:dyDescent="0.3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6"/>
    </row>
    <row r="33" spans="1:12" x14ac:dyDescent="0.25">
      <c r="A33" s="348" t="s">
        <v>264</v>
      </c>
      <c r="B33" s="349"/>
      <c r="C33" s="350"/>
      <c r="D33" s="11">
        <f>Données!C3</f>
        <v>0</v>
      </c>
      <c r="E33" s="11">
        <f>Données!D3</f>
        <v>0</v>
      </c>
      <c r="F33" s="11">
        <f>Données!E3</f>
        <v>0</v>
      </c>
      <c r="G33" s="11">
        <f>Données!F3</f>
        <v>0</v>
      </c>
      <c r="H33" s="11">
        <f>Données!G3</f>
        <v>0</v>
      </c>
      <c r="K33" s="11" t="str">
        <f>K27</f>
        <v>Moyenne</v>
      </c>
      <c r="L33" s="107" t="s">
        <v>164</v>
      </c>
    </row>
    <row r="34" spans="1:12" x14ac:dyDescent="0.25">
      <c r="A34" s="6">
        <v>920</v>
      </c>
      <c r="B34" s="343" t="s">
        <v>265</v>
      </c>
      <c r="C34" s="344"/>
      <c r="D34" s="14">
        <f>Données!C82</f>
        <v>0</v>
      </c>
      <c r="E34" s="14">
        <f>Données!D82</f>
        <v>0</v>
      </c>
      <c r="F34" s="14">
        <f>Données!E82</f>
        <v>0</v>
      </c>
      <c r="G34" s="14">
        <f>Données!F82</f>
        <v>0</v>
      </c>
      <c r="H34" s="14">
        <f>Données!G82</f>
        <v>0</v>
      </c>
      <c r="K34" s="14">
        <f>AVERAGE(D34:H34)</f>
        <v>0</v>
      </c>
      <c r="L34" s="116" t="str">
        <f>IF(OR(D34=0,H34=0,AND(D34&lt;0,H34&gt;0),AND(D34&gt;0,H34&lt;0)),"-",(H34/D34)^(1/4)-1)</f>
        <v>-</v>
      </c>
    </row>
    <row r="35" spans="1:12" x14ac:dyDescent="0.25">
      <c r="A35" s="6">
        <v>921</v>
      </c>
      <c r="B35" s="343" t="s">
        <v>221</v>
      </c>
      <c r="C35" s="344"/>
      <c r="D35" s="14">
        <f>Données!C89</f>
        <v>0</v>
      </c>
      <c r="E35" s="14">
        <f>Données!D89</f>
        <v>0</v>
      </c>
      <c r="F35" s="14">
        <f>Données!E89</f>
        <v>0</v>
      </c>
      <c r="G35" s="14">
        <f>Données!F89</f>
        <v>0</v>
      </c>
      <c r="H35" s="14">
        <f>Données!G89</f>
        <v>0</v>
      </c>
      <c r="K35" s="14">
        <f t="shared" ref="K35:K37" si="15">AVERAGE(D35:H35)</f>
        <v>0</v>
      </c>
      <c r="L35" s="116" t="str">
        <f t="shared" ref="L35:L38" si="16">IF(OR(D35=0,H35=0,AND(D35&lt;0,H35&gt;0),AND(D35&gt;0,H35&lt;0)),"-",(H35/D35)^(1/4)-1)</f>
        <v>-</v>
      </c>
    </row>
    <row r="36" spans="1:12" x14ac:dyDescent="0.25">
      <c r="A36" s="6">
        <v>922</v>
      </c>
      <c r="B36" s="343" t="s">
        <v>222</v>
      </c>
      <c r="C36" s="344"/>
      <c r="D36" s="14">
        <f>Données!C90</f>
        <v>0</v>
      </c>
      <c r="E36" s="14">
        <f>Données!D90</f>
        <v>0</v>
      </c>
      <c r="F36" s="14">
        <f>Données!E90</f>
        <v>0</v>
      </c>
      <c r="G36" s="14">
        <f>Données!F90</f>
        <v>0</v>
      </c>
      <c r="H36" s="14">
        <f>Données!G90</f>
        <v>0</v>
      </c>
      <c r="K36" s="14">
        <f t="shared" si="15"/>
        <v>0</v>
      </c>
      <c r="L36" s="116" t="str">
        <f t="shared" si="16"/>
        <v>-</v>
      </c>
    </row>
    <row r="37" spans="1:12" x14ac:dyDescent="0.25">
      <c r="A37" s="6">
        <v>923</v>
      </c>
      <c r="B37" s="343" t="s">
        <v>55</v>
      </c>
      <c r="C37" s="344"/>
      <c r="D37" s="14">
        <f>Données!C91</f>
        <v>0</v>
      </c>
      <c r="E37" s="14">
        <f>Données!D91</f>
        <v>0</v>
      </c>
      <c r="F37" s="14">
        <f>Données!E91</f>
        <v>0</v>
      </c>
      <c r="G37" s="14">
        <f>Données!F91</f>
        <v>0</v>
      </c>
      <c r="H37" s="14">
        <f>Données!G91</f>
        <v>0</v>
      </c>
      <c r="K37" s="14">
        <f t="shared" si="15"/>
        <v>0</v>
      </c>
      <c r="L37" s="116" t="str">
        <f t="shared" si="16"/>
        <v>-</v>
      </c>
    </row>
    <row r="38" spans="1:12" x14ac:dyDescent="0.25">
      <c r="A38" s="345" t="s">
        <v>267</v>
      </c>
      <c r="B38" s="346"/>
      <c r="C38" s="347"/>
      <c r="D38" s="10">
        <f>SUM(D34:D37)</f>
        <v>0</v>
      </c>
      <c r="E38" s="10">
        <f t="shared" ref="E38:H38" si="17">SUM(E34:E37)</f>
        <v>0</v>
      </c>
      <c r="F38" s="10">
        <f t="shared" si="17"/>
        <v>0</v>
      </c>
      <c r="G38" s="10">
        <f t="shared" si="17"/>
        <v>0</v>
      </c>
      <c r="H38" s="10">
        <f t="shared" si="17"/>
        <v>0</v>
      </c>
      <c r="K38" s="10">
        <f>SUM(K34:K37)</f>
        <v>0</v>
      </c>
      <c r="L38" s="117" t="str">
        <f t="shared" si="16"/>
        <v>-</v>
      </c>
    </row>
    <row r="40" spans="1:12" x14ac:dyDescent="0.25">
      <c r="A40" s="348" t="s">
        <v>266</v>
      </c>
      <c r="B40" s="349"/>
      <c r="C40" s="350"/>
      <c r="D40" s="11">
        <f>D33</f>
        <v>0</v>
      </c>
      <c r="E40" s="11">
        <f t="shared" ref="E40:H40" si="18">E33</f>
        <v>0</v>
      </c>
      <c r="F40" s="11">
        <f t="shared" si="18"/>
        <v>0</v>
      </c>
      <c r="G40" s="11">
        <f t="shared" si="18"/>
        <v>0</v>
      </c>
      <c r="H40" s="11">
        <f t="shared" si="18"/>
        <v>0</v>
      </c>
      <c r="K40" s="11" t="str">
        <f>K33</f>
        <v>Moyenne</v>
      </c>
      <c r="L40" s="107" t="str">
        <f>L33</f>
        <v>Tx croissance</v>
      </c>
    </row>
    <row r="41" spans="1:12" x14ac:dyDescent="0.25">
      <c r="A41" s="6">
        <v>920</v>
      </c>
      <c r="B41" s="343" t="s">
        <v>265</v>
      </c>
      <c r="C41" s="344"/>
      <c r="D41" s="14">
        <f>Données!C82</f>
        <v>0</v>
      </c>
      <c r="E41" s="14">
        <f>Données!D82</f>
        <v>0</v>
      </c>
      <c r="F41" s="14">
        <f>Données!E82</f>
        <v>0</v>
      </c>
      <c r="G41" s="14">
        <f>Données!F82</f>
        <v>0</v>
      </c>
      <c r="H41" s="14">
        <f>Données!G82</f>
        <v>0</v>
      </c>
      <c r="K41" s="14">
        <f t="shared" ref="K41:K49" si="19">AVERAGE(D41:H41)</f>
        <v>0</v>
      </c>
      <c r="L41" s="116" t="str">
        <f t="shared" ref="L41:L50" si="20">IF(OR(D41=0,H41=0,AND(D41&lt;0,H41&gt;0),AND(D41&gt;0,H41&lt;0)),"-",(H41/D41)^(1/4)-1)</f>
        <v>-</v>
      </c>
    </row>
    <row r="42" spans="1:12" x14ac:dyDescent="0.25">
      <c r="A42" s="6">
        <v>921</v>
      </c>
      <c r="B42" s="343" t="s">
        <v>221</v>
      </c>
      <c r="C42" s="344"/>
      <c r="D42" s="14">
        <f>Données!C89</f>
        <v>0</v>
      </c>
      <c r="E42" s="14">
        <f>Données!D89</f>
        <v>0</v>
      </c>
      <c r="F42" s="14">
        <f>Données!E89</f>
        <v>0</v>
      </c>
      <c r="G42" s="14">
        <f>Données!F89</f>
        <v>0</v>
      </c>
      <c r="H42" s="14">
        <f>Données!G89</f>
        <v>0</v>
      </c>
      <c r="K42" s="14">
        <f t="shared" si="19"/>
        <v>0</v>
      </c>
      <c r="L42" s="116" t="str">
        <f t="shared" si="20"/>
        <v>-</v>
      </c>
    </row>
    <row r="43" spans="1:12" x14ac:dyDescent="0.25">
      <c r="A43" s="6">
        <v>922</v>
      </c>
      <c r="B43" s="343" t="s">
        <v>222</v>
      </c>
      <c r="C43" s="344"/>
      <c r="D43" s="14">
        <f>Données!C90</f>
        <v>0</v>
      </c>
      <c r="E43" s="14">
        <f>Données!D90</f>
        <v>0</v>
      </c>
      <c r="F43" s="14">
        <f>Données!E90</f>
        <v>0</v>
      </c>
      <c r="G43" s="14">
        <f>Données!F90</f>
        <v>0</v>
      </c>
      <c r="H43" s="14">
        <f>Données!G90</f>
        <v>0</v>
      </c>
      <c r="K43" s="14">
        <f t="shared" si="19"/>
        <v>0</v>
      </c>
      <c r="L43" s="116" t="str">
        <f t="shared" si="20"/>
        <v>-</v>
      </c>
    </row>
    <row r="44" spans="1:12" x14ac:dyDescent="0.25">
      <c r="A44" s="6">
        <v>923</v>
      </c>
      <c r="B44" s="343" t="s">
        <v>55</v>
      </c>
      <c r="C44" s="344"/>
      <c r="D44" s="14">
        <f>Données!C91</f>
        <v>0</v>
      </c>
      <c r="E44" s="14">
        <f>Données!D91</f>
        <v>0</v>
      </c>
      <c r="F44" s="14">
        <f>Données!E91</f>
        <v>0</v>
      </c>
      <c r="G44" s="14">
        <f>Données!F91</f>
        <v>0</v>
      </c>
      <c r="H44" s="14">
        <f>Données!G91</f>
        <v>0</v>
      </c>
      <c r="K44" s="14">
        <f t="shared" si="19"/>
        <v>0</v>
      </c>
      <c r="L44" s="116" t="str">
        <f t="shared" si="20"/>
        <v>-</v>
      </c>
    </row>
    <row r="45" spans="1:12" x14ac:dyDescent="0.25">
      <c r="A45" s="6">
        <v>925</v>
      </c>
      <c r="B45" s="343" t="s">
        <v>110</v>
      </c>
      <c r="C45" s="344"/>
      <c r="D45" s="14">
        <f>Données!C84</f>
        <v>0</v>
      </c>
      <c r="E45" s="14">
        <f>Données!D84</f>
        <v>0</v>
      </c>
      <c r="F45" s="14">
        <f>Données!E84</f>
        <v>0</v>
      </c>
      <c r="G45" s="14">
        <f>Données!F84</f>
        <v>0</v>
      </c>
      <c r="H45" s="14">
        <f>Données!G84</f>
        <v>0</v>
      </c>
      <c r="K45" s="14">
        <f t="shared" si="19"/>
        <v>0</v>
      </c>
      <c r="L45" s="116" t="str">
        <f t="shared" si="20"/>
        <v>-</v>
      </c>
    </row>
    <row r="46" spans="1:12" x14ac:dyDescent="0.25">
      <c r="A46" s="6">
        <v>910</v>
      </c>
      <c r="B46" s="343" t="s">
        <v>106</v>
      </c>
      <c r="C46" s="344"/>
      <c r="D46" s="14">
        <f>Données!C77</f>
        <v>0</v>
      </c>
      <c r="E46" s="14">
        <f>Données!D77</f>
        <v>0</v>
      </c>
      <c r="F46" s="14">
        <f>Données!E77</f>
        <v>0</v>
      </c>
      <c r="G46" s="14">
        <f>Données!F77</f>
        <v>0</v>
      </c>
      <c r="H46" s="14">
        <f>Données!G77</f>
        <v>0</v>
      </c>
      <c r="K46" s="14">
        <f t="shared" si="19"/>
        <v>0</v>
      </c>
      <c r="L46" s="116" t="str">
        <f t="shared" si="20"/>
        <v>-</v>
      </c>
    </row>
    <row r="47" spans="1:12" x14ac:dyDescent="0.25">
      <c r="A47" s="6">
        <v>911</v>
      </c>
      <c r="B47" s="343" t="s">
        <v>107</v>
      </c>
      <c r="C47" s="344"/>
      <c r="D47" s="14">
        <f>Données!C78</f>
        <v>0</v>
      </c>
      <c r="E47" s="14">
        <f>Données!D78</f>
        <v>0</v>
      </c>
      <c r="F47" s="14">
        <f>Données!E78</f>
        <v>0</v>
      </c>
      <c r="G47" s="14">
        <f>Données!F78</f>
        <v>0</v>
      </c>
      <c r="H47" s="14">
        <f>Données!G78</f>
        <v>0</v>
      </c>
      <c r="K47" s="14">
        <f t="shared" si="19"/>
        <v>0</v>
      </c>
      <c r="L47" s="116" t="str">
        <f t="shared" si="20"/>
        <v>-</v>
      </c>
    </row>
    <row r="48" spans="1:12" x14ac:dyDescent="0.25">
      <c r="A48" s="6">
        <v>912</v>
      </c>
      <c r="B48" s="343" t="s">
        <v>108</v>
      </c>
      <c r="C48" s="344"/>
      <c r="D48" s="14">
        <f>Données!C79</f>
        <v>0</v>
      </c>
      <c r="E48" s="14">
        <f>Données!D79</f>
        <v>0</v>
      </c>
      <c r="F48" s="14">
        <f>Données!E79</f>
        <v>0</v>
      </c>
      <c r="G48" s="14">
        <f>Données!F79</f>
        <v>0</v>
      </c>
      <c r="H48" s="14">
        <f>Données!G79</f>
        <v>0</v>
      </c>
      <c r="K48" s="14">
        <f t="shared" si="19"/>
        <v>0</v>
      </c>
      <c r="L48" s="116" t="str">
        <f t="shared" si="20"/>
        <v>-</v>
      </c>
    </row>
    <row r="49" spans="1:12" x14ac:dyDescent="0.25">
      <c r="A49" s="6">
        <v>913</v>
      </c>
      <c r="B49" s="343" t="s">
        <v>112</v>
      </c>
      <c r="C49" s="344"/>
      <c r="D49" s="14">
        <f>Données!C81</f>
        <v>0</v>
      </c>
      <c r="E49" s="14">
        <f>Données!D81</f>
        <v>0</v>
      </c>
      <c r="F49" s="14">
        <f>Données!E81</f>
        <v>0</v>
      </c>
      <c r="G49" s="14">
        <f>Données!F81</f>
        <v>0</v>
      </c>
      <c r="H49" s="14">
        <f>Données!G81</f>
        <v>0</v>
      </c>
      <c r="K49" s="14">
        <f t="shared" si="19"/>
        <v>0</v>
      </c>
      <c r="L49" s="116" t="str">
        <f t="shared" si="20"/>
        <v>-</v>
      </c>
    </row>
    <row r="50" spans="1:12" x14ac:dyDescent="0.25">
      <c r="A50" s="340" t="s">
        <v>268</v>
      </c>
      <c r="B50" s="341"/>
      <c r="C50" s="342"/>
      <c r="D50" s="10">
        <f>SUM(D41:D45)-SUM(D46:D49)</f>
        <v>0</v>
      </c>
      <c r="E50" s="10">
        <f t="shared" ref="E50:H50" si="21">SUM(E41:E45)-SUM(E46:E49)</f>
        <v>0</v>
      </c>
      <c r="F50" s="10">
        <f t="shared" si="21"/>
        <v>0</v>
      </c>
      <c r="G50" s="10">
        <f t="shared" si="21"/>
        <v>0</v>
      </c>
      <c r="H50" s="10">
        <f t="shared" si="21"/>
        <v>0</v>
      </c>
      <c r="K50" s="10">
        <f t="shared" ref="K50" si="22">SUM(K41:K45)-SUM(K46:K49)</f>
        <v>0</v>
      </c>
      <c r="L50" s="117" t="str">
        <f t="shared" si="20"/>
        <v>-</v>
      </c>
    </row>
  </sheetData>
  <sheetProtection algorithmName="SHA-512" hashValue="h8B3o+24AquVfLo1rZQWbi3xdgJufh8UfaR7YSnFAiOqji0bjlp8bsQQ1LRqFv3u8paXKwLuOh/NmNV9rgUyPw==" saltValue="tamyuprUU9prR97gGAHeDA==" spinCount="100000" sheet="1" sort="0" autoFilter="0"/>
  <mergeCells count="27">
    <mergeCell ref="A21:A24"/>
    <mergeCell ref="B21:B24"/>
    <mergeCell ref="A1:C1"/>
    <mergeCell ref="D1:H1"/>
    <mergeCell ref="A6:A9"/>
    <mergeCell ref="B6:B9"/>
    <mergeCell ref="A12:A15"/>
    <mergeCell ref="B12:B15"/>
    <mergeCell ref="A38:C38"/>
    <mergeCell ref="A40:C40"/>
    <mergeCell ref="B46:C46"/>
    <mergeCell ref="B47:C47"/>
    <mergeCell ref="A27:A30"/>
    <mergeCell ref="B27:B30"/>
    <mergeCell ref="A33:C33"/>
    <mergeCell ref="B34:C34"/>
    <mergeCell ref="B35:C35"/>
    <mergeCell ref="B36:C36"/>
    <mergeCell ref="B37:C37"/>
    <mergeCell ref="A50:C50"/>
    <mergeCell ref="B41:C41"/>
    <mergeCell ref="B42:C42"/>
    <mergeCell ref="B43:C43"/>
    <mergeCell ref="B44:C44"/>
    <mergeCell ref="B45:C45"/>
    <mergeCell ref="B48:C48"/>
    <mergeCell ref="B49:C49"/>
  </mergeCells>
  <conditionalFormatting sqref="D9:H9">
    <cfRule type="cellIs" dxfId="23" priority="41" operator="between">
      <formula>2</formula>
      <formula>2.5</formula>
    </cfRule>
    <cfRule type="cellIs" dxfId="22" priority="42" operator="lessThan">
      <formula>2</formula>
    </cfRule>
    <cfRule type="cellIs" dxfId="21" priority="43" operator="greaterThan">
      <formula>2.5</formula>
    </cfRule>
  </conditionalFormatting>
  <conditionalFormatting sqref="K15">
    <cfRule type="cellIs" dxfId="20" priority="7" operator="between">
      <formula>2</formula>
      <formula>2.5</formula>
    </cfRule>
    <cfRule type="cellIs" dxfId="19" priority="8" operator="lessThan">
      <formula>2</formula>
    </cfRule>
    <cfRule type="cellIs" dxfId="18" priority="9" operator="greaterThan">
      <formula>2.5</formula>
    </cfRule>
  </conditionalFormatting>
  <conditionalFormatting sqref="D15:H15">
    <cfRule type="cellIs" dxfId="17" priority="34" operator="between">
      <formula>2</formula>
      <formula>2.5</formula>
    </cfRule>
    <cfRule type="cellIs" dxfId="16" priority="35" operator="lessThan">
      <formula>2</formula>
    </cfRule>
    <cfRule type="cellIs" dxfId="15" priority="36" operator="greaterThan">
      <formula>2.5</formula>
    </cfRule>
  </conditionalFormatting>
  <conditionalFormatting sqref="D24:I24">
    <cfRule type="cellIs" dxfId="14" priority="31" operator="between">
      <formula>2</formula>
      <formula>2.5</formula>
    </cfRule>
    <cfRule type="cellIs" dxfId="13" priority="32" operator="lessThan">
      <formula>2</formula>
    </cfRule>
    <cfRule type="cellIs" dxfId="12" priority="33" operator="greaterThan">
      <formula>2.5</formula>
    </cfRule>
  </conditionalFormatting>
  <conditionalFormatting sqref="D30:I30">
    <cfRule type="cellIs" dxfId="11" priority="28" operator="between">
      <formula>2</formula>
      <formula>2.5</formula>
    </cfRule>
    <cfRule type="cellIs" dxfId="10" priority="29" operator="lessThan">
      <formula>2</formula>
    </cfRule>
    <cfRule type="cellIs" dxfId="9" priority="30" operator="greaterThan">
      <formula>2.5</formula>
    </cfRule>
  </conditionalFormatting>
  <conditionalFormatting sqref="K9">
    <cfRule type="cellIs" dxfId="8" priority="10" operator="between">
      <formula>2</formula>
      <formula>2.5</formula>
    </cfRule>
    <cfRule type="cellIs" dxfId="7" priority="11" operator="lessThan">
      <formula>2</formula>
    </cfRule>
    <cfRule type="cellIs" dxfId="6" priority="12" operator="greaterThan">
      <formula>2.5</formula>
    </cfRule>
  </conditionalFormatting>
  <conditionalFormatting sqref="K30">
    <cfRule type="cellIs" dxfId="5" priority="4" operator="between">
      <formula>2</formula>
      <formula>2.5</formula>
    </cfRule>
    <cfRule type="cellIs" dxfId="4" priority="5" operator="lessThan">
      <formula>2</formula>
    </cfRule>
    <cfRule type="cellIs" dxfId="3" priority="6" operator="greaterThan">
      <formula>2.5</formula>
    </cfRule>
  </conditionalFormatting>
  <conditionalFormatting sqref="K24">
    <cfRule type="cellIs" dxfId="2" priority="1" operator="between">
      <formula>2</formula>
      <formula>2.5</formula>
    </cfRule>
    <cfRule type="cellIs" dxfId="1" priority="2" operator="lessThan">
      <formula>2</formula>
    </cfRule>
    <cfRule type="cellIs" dxfId="0" priority="3" operator="greaterThan">
      <formula>2.5</formula>
    </cfRule>
  </conditionalFormatting>
  <pageMargins left="0.25" right="0.25" top="0.75" bottom="0.75" header="0.3" footer="0.3"/>
  <pageSetup paperSize="9" orientation="landscape" r:id="rId1"/>
  <headerFooter>
    <oddHeader>&amp;LV6.0&amp;CIndicateurs VD&amp;R&amp;D</oddHeader>
    <oddFooter>&amp;L&amp;8Fichier d'analyse réalisé par l'UCV
conseils@ucv.ch&amp;C&amp;G</oddFooter>
  </headerFooter>
  <rowBreaks count="1" manualBreakCount="1">
    <brk id="31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B75D299B897E4B88587F7CD9C0CA24" ma:contentTypeVersion="16" ma:contentTypeDescription="Crée un document." ma:contentTypeScope="" ma:versionID="2908efa337954028242c643f5a6e984f">
  <xsd:schema xmlns:xsd="http://www.w3.org/2001/XMLSchema" xmlns:xs="http://www.w3.org/2001/XMLSchema" xmlns:p="http://schemas.microsoft.com/office/2006/metadata/properties" xmlns:ns2="77275f4c-6737-47fc-9c5e-f212172b2495" xmlns:ns3="d99ca88c-c8c0-44c7-b0c6-2a11d47a730b" targetNamespace="http://schemas.microsoft.com/office/2006/metadata/properties" ma:root="true" ma:fieldsID="9204334b342c82624730f952b1a769a2" ns2:_="" ns3:_="">
    <xsd:import namespace="77275f4c-6737-47fc-9c5e-f212172b2495"/>
    <xsd:import namespace="d99ca88c-c8c0-44c7-b0c6-2a11d47a7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75f4c-6737-47fc-9c5e-f212172b24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b951de1-7d66-40e9-ba1b-89a876311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ca88c-c8c0-44c7-b0c6-2a11d47a73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02cef7-2321-41ce-baa4-80d85fd28db9}" ma:internalName="TaxCatchAll" ma:showField="CatchAllData" ma:web="d99ca88c-c8c0-44c7-b0c6-2a11d47a73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9ca88c-c8c0-44c7-b0c6-2a11d47a730b" xsi:nil="true"/>
    <lcf76f155ced4ddcb4097134ff3c332f xmlns="77275f4c-6737-47fc-9c5e-f212172b24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855D53-D412-4F04-AD46-9E624B3488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D1EC5-32F7-4A27-8C95-0B76FAFD9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275f4c-6737-47fc-9c5e-f212172b2495"/>
    <ds:schemaRef ds:uri="d99ca88c-c8c0-44c7-b0c6-2a11d47a7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84FD41-0740-47D2-98AA-035009C29E1C}">
  <ds:schemaRefs>
    <ds:schemaRef ds:uri="77275f4c-6737-47fc-9c5e-f212172b2495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99ca88c-c8c0-44c7-b0c6-2a11d47a730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Données</vt:lpstr>
      <vt:lpstr>AF</vt:lpstr>
      <vt:lpstr>TBAF</vt:lpstr>
      <vt:lpstr>EP</vt:lpstr>
      <vt:lpstr>TBEP</vt:lpstr>
      <vt:lpstr>Indicateurs VD</vt:lpstr>
      <vt:lpstr>AF!Print_Area</vt:lpstr>
      <vt:lpstr>Données!Print_Area</vt:lpstr>
      <vt:lpstr>EP!Print_Area</vt:lpstr>
      <vt:lpstr>'Indicateurs VD'!Print_Area</vt:lpstr>
      <vt:lpstr>TBAF!Print_Area</vt:lpstr>
      <vt:lpstr>TBEP!Print_Area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Saitta</dc:creator>
  <cp:lastModifiedBy>Eve Zeender</cp:lastModifiedBy>
  <cp:lastPrinted>2022-10-11T12:57:48Z</cp:lastPrinted>
  <dcterms:created xsi:type="dcterms:W3CDTF">2020-12-14T16:02:42Z</dcterms:created>
  <dcterms:modified xsi:type="dcterms:W3CDTF">2023-01-19T09:17:03Z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0x0101005AB75D299B897E4B88587F7CD9C0CA24</vt:lpwstr>
  </property>
  <property fmtid="{D5CDD505-2E9C-101B-9397-08002B2CF9AE}" pid="3" name="MediaServiceImageTags">
    <vt:lpwstr/>
  </property>
</Properties>
</file>